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11" yWindow="360" windowWidth="12390" windowHeight="7935" activeTab="0"/>
  </bookViews>
  <sheets>
    <sheet name="Calculator" sheetId="1" r:id="rId1"/>
    <sheet name="Wiring" sheetId="2" r:id="rId2"/>
  </sheets>
  <definedNames/>
  <calcPr fullCalcOnLoad="1"/>
</workbook>
</file>

<file path=xl/sharedStrings.xml><?xml version="1.0" encoding="utf-8"?>
<sst xmlns="http://schemas.openxmlformats.org/spreadsheetml/2006/main" count="171" uniqueCount="37">
  <si>
    <t>Single Phase Buck-Boost Selection Calculator</t>
  </si>
  <si>
    <t>Voltage</t>
  </si>
  <si>
    <t>L/H</t>
  </si>
  <si>
    <t>H/L</t>
  </si>
  <si>
    <t>Low</t>
  </si>
  <si>
    <t>High</t>
  </si>
  <si>
    <t>Wiring</t>
  </si>
  <si>
    <t>Three Phase Open Delta Buck-Boost Selection Calculator</t>
  </si>
  <si>
    <t>Max volt</t>
  </si>
  <si>
    <t>Three Phase Wye Buck-Boost Selection Calculator</t>
  </si>
  <si>
    <t>Requires two identical Buck-Boost Transformers</t>
  </si>
  <si>
    <t>Requires three identical Buck-Boost Transformers</t>
  </si>
  <si>
    <t>Enter Desired Current</t>
  </si>
  <si>
    <t>+1</t>
  </si>
  <si>
    <t>---</t>
  </si>
  <si>
    <t>01</t>
  </si>
  <si>
    <t>Current</t>
  </si>
  <si>
    <t>Or</t>
  </si>
  <si>
    <t>to</t>
  </si>
  <si>
    <t>xx for HV</t>
  </si>
  <si>
    <t>xx for LV</t>
  </si>
  <si>
    <t>amperage for HV as the Load</t>
  </si>
  <si>
    <t>password = boost</t>
  </si>
  <si>
    <t>amperage for LV as the Load</t>
  </si>
  <si>
    <r>
      <t xml:space="preserve">1. Enter the </t>
    </r>
    <r>
      <rPr>
        <b/>
        <sz val="10"/>
        <rFont val="Arial"/>
        <family val="2"/>
      </rPr>
      <t>load</t>
    </r>
    <r>
      <rPr>
        <sz val="10"/>
        <rFont val="Arial"/>
        <family val="0"/>
      </rPr>
      <t xml:space="preserve"> voltage you need here</t>
    </r>
  </si>
  <si>
    <r>
      <t xml:space="preserve">2. Enter the </t>
    </r>
    <r>
      <rPr>
        <b/>
        <sz val="10"/>
        <rFont val="Arial"/>
        <family val="2"/>
      </rPr>
      <t>load</t>
    </r>
    <r>
      <rPr>
        <sz val="10"/>
        <rFont val="Arial"/>
        <family val="0"/>
      </rPr>
      <t xml:space="preserve"> current you need here     </t>
    </r>
  </si>
  <si>
    <t>Load = Low</t>
  </si>
  <si>
    <t>Load = High</t>
  </si>
  <si>
    <t xml:space="preserve">3. Choose the closest voltage combination from the charts below                        </t>
  </si>
  <si>
    <t xml:space="preserve">4. Select catalog number and wiring diagram number.           </t>
  </si>
  <si>
    <t>00</t>
  </si>
  <si>
    <t>High Load Unit</t>
  </si>
  <si>
    <t>Low Load Unit</t>
  </si>
  <si>
    <t>Volts</t>
  </si>
  <si>
    <t>Amps</t>
  </si>
  <si>
    <t>Revised Feb 10,2012</t>
  </si>
  <si>
    <t xml:space="preserve"> Buck-Boost Selection Calculator - Rev 3.3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</si>
</sst>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">
    <font>
      <sz val="10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/>
      <protection/>
    </xf>
    <xf numFmtId="0" fontId="3" fillId="0" borderId="4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 vertical="top" wrapText="1"/>
      <protection/>
    </xf>
    <xf numFmtId="165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left"/>
      <protection/>
    </xf>
    <xf numFmtId="165" fontId="0" fillId="0" borderId="0" xfId="0" applyNumberForma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 horizontal="left" vertical="top"/>
      <protection/>
    </xf>
    <xf numFmtId="0" fontId="0" fillId="3" borderId="0" xfId="0" applyFill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 wrapText="1"/>
      <protection/>
    </xf>
    <xf numFmtId="0" fontId="3" fillId="0" borderId="2" xfId="0" applyFont="1" applyFill="1" applyBorder="1" applyAlignment="1" applyProtection="1">
      <alignment horizontal="center" wrapText="1"/>
      <protection/>
    </xf>
    <xf numFmtId="0" fontId="3" fillId="0" borderId="6" xfId="0" applyFont="1" applyBorder="1" applyAlignment="1" applyProtection="1">
      <alignment horizontal="center" wrapText="1"/>
      <protection/>
    </xf>
    <xf numFmtId="0" fontId="3" fillId="0" borderId="7" xfId="0" applyFont="1" applyBorder="1" applyAlignment="1" applyProtection="1">
      <alignment horizontal="center" wrapText="1"/>
      <protection/>
    </xf>
    <xf numFmtId="0" fontId="3" fillId="0" borderId="8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6" xfId="0" applyFont="1" applyFill="1" applyBorder="1" applyAlignment="1" applyProtection="1">
      <alignment horizontal="center" wrapText="1"/>
      <protection/>
    </xf>
    <xf numFmtId="0" fontId="3" fillId="0" borderId="4" xfId="0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4" fillId="2" borderId="9" xfId="0" applyFont="1" applyFill="1" applyBorder="1" applyAlignment="1" applyProtection="1">
      <alignment horizontal="center"/>
      <protection/>
    </xf>
    <xf numFmtId="164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" fontId="0" fillId="4" borderId="7" xfId="0" applyNumberFormat="1" applyFill="1" applyBorder="1" applyAlignment="1" applyProtection="1">
      <alignment horizontal="center"/>
      <protection/>
    </xf>
    <xf numFmtId="1" fontId="0" fillId="4" borderId="10" xfId="0" applyNumberFormat="1" applyFill="1" applyBorder="1" applyAlignment="1" applyProtection="1">
      <alignment horizontal="center"/>
      <protection/>
    </xf>
    <xf numFmtId="1" fontId="0" fillId="4" borderId="8" xfId="0" applyNumberFormat="1" applyFill="1" applyBorder="1" applyAlignment="1" applyProtection="1">
      <alignment horizontal="center"/>
      <protection/>
    </xf>
    <xf numFmtId="0" fontId="0" fillId="4" borderId="1" xfId="0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0" fillId="4" borderId="0" xfId="0" applyNumberFormat="1" applyFill="1" applyBorder="1" applyAlignment="1" applyProtection="1">
      <alignment horizontal="center"/>
      <protection/>
    </xf>
    <xf numFmtId="165" fontId="0" fillId="5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164" fontId="0" fillId="7" borderId="0" xfId="0" applyNumberForma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1" fontId="0" fillId="7" borderId="7" xfId="0" applyNumberFormat="1" applyFill="1" applyBorder="1" applyAlignment="1" applyProtection="1">
      <alignment horizontal="center"/>
      <protection/>
    </xf>
    <xf numFmtId="1" fontId="0" fillId="7" borderId="10" xfId="0" applyNumberFormat="1" applyFill="1" applyBorder="1" applyAlignment="1" applyProtection="1">
      <alignment horizontal="center"/>
      <protection/>
    </xf>
    <xf numFmtId="1" fontId="0" fillId="7" borderId="8" xfId="0" applyNumberFormat="1" applyFill="1" applyBorder="1" applyAlignment="1" applyProtection="1">
      <alignment horizontal="center"/>
      <protection/>
    </xf>
    <xf numFmtId="1" fontId="0" fillId="7" borderId="1" xfId="0" applyNumberForma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1" fontId="0" fillId="7" borderId="0" xfId="0" applyNumberFormat="1" applyFill="1" applyBorder="1" applyAlignment="1" applyProtection="1">
      <alignment horizontal="center"/>
      <protection/>
    </xf>
    <xf numFmtId="164" fontId="0" fillId="8" borderId="0" xfId="0" applyNumberForma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1" fontId="0" fillId="8" borderId="7" xfId="0" applyNumberFormat="1" applyFill="1" applyBorder="1" applyAlignment="1" applyProtection="1">
      <alignment horizontal="center"/>
      <protection/>
    </xf>
    <xf numFmtId="1" fontId="0" fillId="8" borderId="10" xfId="0" applyNumberFormat="1" applyFill="1" applyBorder="1" applyAlignment="1" applyProtection="1">
      <alignment horizontal="center"/>
      <protection/>
    </xf>
    <xf numFmtId="1" fontId="0" fillId="8" borderId="8" xfId="0" applyNumberFormat="1" applyFill="1" applyBorder="1" applyAlignment="1" applyProtection="1">
      <alignment horizontal="center"/>
      <protection/>
    </xf>
    <xf numFmtId="1" fontId="0" fillId="8" borderId="1" xfId="0" applyNumberFormat="1" applyFill="1" applyBorder="1" applyAlignment="1" applyProtection="1">
      <alignment horizontal="center"/>
      <protection/>
    </xf>
    <xf numFmtId="0" fontId="0" fillId="8" borderId="1" xfId="0" applyFill="1" applyBorder="1" applyAlignment="1" applyProtection="1">
      <alignment horizontal="center"/>
      <protection/>
    </xf>
    <xf numFmtId="1" fontId="0" fillId="8" borderId="0" xfId="0" applyNumberFormat="1" applyFill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center"/>
      <protection/>
    </xf>
    <xf numFmtId="164" fontId="0" fillId="8" borderId="12" xfId="0" applyNumberFormat="1" applyFill="1" applyBorder="1" applyAlignment="1" applyProtection="1">
      <alignment/>
      <protection/>
    </xf>
    <xf numFmtId="0" fontId="0" fillId="8" borderId="12" xfId="0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/>
      <protection/>
    </xf>
    <xf numFmtId="1" fontId="0" fillId="8" borderId="12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165" fontId="3" fillId="8" borderId="0" xfId="0" applyNumberFormat="1" applyFont="1" applyFill="1" applyBorder="1" applyAlignment="1" applyProtection="1" quotePrefix="1">
      <alignment horizontal="center" vertical="top" wrapText="1"/>
      <protection/>
    </xf>
    <xf numFmtId="165" fontId="3" fillId="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" xfId="0" applyFill="1" applyBorder="1" applyAlignment="1" applyProtection="1">
      <alignment/>
      <protection/>
    </xf>
    <xf numFmtId="1" fontId="0" fillId="4" borderId="1" xfId="0" applyNumberFormat="1" applyFill="1" applyBorder="1" applyAlignment="1" applyProtection="1">
      <alignment horizontal="center"/>
      <protection/>
    </xf>
    <xf numFmtId="165" fontId="0" fillId="5" borderId="0" xfId="0" applyNumberFormat="1" applyFill="1" applyBorder="1" applyAlignment="1" applyProtection="1" quotePrefix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 quotePrefix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95250</xdr:rowOff>
    </xdr:from>
    <xdr:to>
      <xdr:col>7</xdr:col>
      <xdr:colOff>590550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95250"/>
          <a:ext cx="3771900" cy="2000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13</xdr:row>
      <xdr:rowOff>85725</xdr:rowOff>
    </xdr:from>
    <xdr:to>
      <xdr:col>8</xdr:col>
      <xdr:colOff>76200</xdr:colOff>
      <xdr:row>25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2228850"/>
          <a:ext cx="3810000" cy="2019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409575</xdr:colOff>
      <xdr:row>26</xdr:row>
      <xdr:rowOff>19050</xdr:rowOff>
    </xdr:from>
    <xdr:to>
      <xdr:col>8</xdr:col>
      <xdr:colOff>352425</xdr:colOff>
      <xdr:row>39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4305300"/>
          <a:ext cx="4210050" cy="2219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552450</xdr:colOff>
      <xdr:row>39</xdr:row>
      <xdr:rowOff>142875</xdr:rowOff>
    </xdr:from>
    <xdr:to>
      <xdr:col>8</xdr:col>
      <xdr:colOff>342900</xdr:colOff>
      <xdr:row>52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6300" y="6572250"/>
          <a:ext cx="4057650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152400</xdr:colOff>
      <xdr:row>53</xdr:row>
      <xdr:rowOff>85725</xdr:rowOff>
    </xdr:from>
    <xdr:to>
      <xdr:col>10</xdr:col>
      <xdr:colOff>190500</xdr:colOff>
      <xdr:row>71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8820150"/>
          <a:ext cx="5524500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104775</xdr:colOff>
      <xdr:row>72</xdr:row>
      <xdr:rowOff>47625</xdr:rowOff>
    </xdr:from>
    <xdr:to>
      <xdr:col>10</xdr:col>
      <xdr:colOff>523875</xdr:colOff>
      <xdr:row>87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11896725"/>
          <a:ext cx="5905500" cy="2438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123825</xdr:colOff>
      <xdr:row>88</xdr:row>
      <xdr:rowOff>133350</xdr:rowOff>
    </xdr:from>
    <xdr:to>
      <xdr:col>10</xdr:col>
      <xdr:colOff>571500</xdr:colOff>
      <xdr:row>104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14611350"/>
          <a:ext cx="5934075" cy="2647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285750</xdr:colOff>
      <xdr:row>107</xdr:row>
      <xdr:rowOff>38100</xdr:rowOff>
    </xdr:from>
    <xdr:to>
      <xdr:col>10</xdr:col>
      <xdr:colOff>495300</xdr:colOff>
      <xdr:row>120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0" y="17630775"/>
          <a:ext cx="6019800" cy="21526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19050</xdr:colOff>
      <xdr:row>120</xdr:row>
      <xdr:rowOff>133350</xdr:rowOff>
    </xdr:from>
    <xdr:to>
      <xdr:col>10</xdr:col>
      <xdr:colOff>381000</xdr:colOff>
      <xdr:row>139</xdr:row>
      <xdr:rowOff>104775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19869150"/>
          <a:ext cx="5848350" cy="3086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238125</xdr:colOff>
      <xdr:row>140</xdr:row>
      <xdr:rowOff>38100</xdr:rowOff>
    </xdr:from>
    <xdr:to>
      <xdr:col>10</xdr:col>
      <xdr:colOff>485775</xdr:colOff>
      <xdr:row>160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23050500"/>
          <a:ext cx="5734050" cy="3267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133350</xdr:colOff>
      <xdr:row>161</xdr:row>
      <xdr:rowOff>142875</xdr:rowOff>
    </xdr:from>
    <xdr:to>
      <xdr:col>10</xdr:col>
      <xdr:colOff>552450</xdr:colOff>
      <xdr:row>182</xdr:row>
      <xdr:rowOff>28575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7200" y="26593800"/>
          <a:ext cx="5905500" cy="3324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66675</xdr:colOff>
      <xdr:row>186</xdr:row>
      <xdr:rowOff>85725</xdr:rowOff>
    </xdr:from>
    <xdr:to>
      <xdr:col>10</xdr:col>
      <xdr:colOff>552450</xdr:colOff>
      <xdr:row>207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90525" y="30622875"/>
          <a:ext cx="5972175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1"/>
  <sheetViews>
    <sheetView tabSelected="1" workbookViewId="0" topLeftCell="B1">
      <pane ySplit="6" topLeftCell="BM13" activePane="bottomLeft" state="frozen"/>
      <selection pane="topLeft" activeCell="B1" sqref="B1"/>
      <selection pane="bottomLeft" activeCell="K4" sqref="K4"/>
    </sheetView>
  </sheetViews>
  <sheetFormatPr defaultColWidth="9.140625" defaultRowHeight="12.75"/>
  <cols>
    <col min="1" max="1" width="8.00390625" style="43" hidden="1" customWidth="1"/>
    <col min="2" max="2" width="2.8515625" style="43" customWidth="1"/>
    <col min="3" max="4" width="10.28125" style="43" hidden="1" customWidth="1"/>
    <col min="5" max="5" width="4.421875" style="43" hidden="1" customWidth="1"/>
    <col min="6" max="6" width="8.7109375" style="43" customWidth="1"/>
    <col min="7" max="7" width="2.57421875" style="43" bestFit="1" customWidth="1"/>
    <col min="8" max="8" width="6.7109375" style="43" customWidth="1"/>
    <col min="9" max="9" width="12.8515625" style="43" customWidth="1"/>
    <col min="10" max="10" width="7.00390625" style="43" bestFit="1" customWidth="1"/>
    <col min="11" max="11" width="8.140625" style="43" customWidth="1"/>
    <col min="12" max="12" width="6.7109375" style="43" customWidth="1"/>
    <col min="13" max="13" width="2.57421875" style="43" bestFit="1" customWidth="1"/>
    <col min="14" max="14" width="7.140625" style="43" customWidth="1"/>
    <col min="15" max="15" width="2.140625" style="43" hidden="1" customWidth="1"/>
    <col min="16" max="16" width="12.140625" style="69" bestFit="1" customWidth="1"/>
    <col min="17" max="17" width="8.8515625" style="69" customWidth="1"/>
    <col min="18" max="18" width="8.8515625" style="4" hidden="1" customWidth="1"/>
    <col min="19" max="19" width="6.00390625" style="4" hidden="1" customWidth="1"/>
    <col min="20" max="20" width="6.28125" style="69" hidden="1" customWidth="1"/>
    <col min="21" max="21" width="3.421875" style="43" hidden="1" customWidth="1"/>
    <col min="22" max="26" width="6.7109375" style="43" hidden="1" customWidth="1"/>
    <col min="27" max="37" width="8.421875" style="43" hidden="1" customWidth="1"/>
    <col min="38" max="38" width="7.00390625" style="43" hidden="1" customWidth="1"/>
    <col min="39" max="39" width="5.57421875" style="43" hidden="1" customWidth="1"/>
    <col min="40" max="50" width="0" style="43" hidden="1" customWidth="1"/>
    <col min="51" max="16384" width="9.140625" style="43" customWidth="1"/>
  </cols>
  <sheetData>
    <row r="1" spans="2:20" s="8" customFormat="1" ht="18">
      <c r="B1" s="9" t="s">
        <v>36</v>
      </c>
      <c r="P1" s="10"/>
      <c r="Q1" s="11" t="s">
        <v>35</v>
      </c>
      <c r="R1" s="12"/>
      <c r="S1" s="12"/>
      <c r="T1" s="11"/>
    </row>
    <row r="2" spans="16:37" s="13" customFormat="1" ht="12.75">
      <c r="P2" s="14"/>
      <c r="Q2" s="14"/>
      <c r="R2" s="15"/>
      <c r="S2" s="15"/>
      <c r="T2" s="14"/>
      <c r="AA2" s="16"/>
      <c r="AB2" s="17" t="s">
        <v>22</v>
      </c>
      <c r="AC2" s="16"/>
      <c r="AD2" s="16"/>
      <c r="AE2" s="16"/>
      <c r="AF2" s="16"/>
      <c r="AG2" s="16"/>
      <c r="AH2" s="16"/>
      <c r="AI2" s="16"/>
      <c r="AJ2" s="16"/>
      <c r="AK2" s="16"/>
    </row>
    <row r="3" spans="6:37" s="13" customFormat="1" ht="12.75">
      <c r="F3" s="18" t="s">
        <v>24</v>
      </c>
      <c r="H3" s="11"/>
      <c r="J3" s="11"/>
      <c r="K3" s="1">
        <v>208</v>
      </c>
      <c r="L3" s="13" t="s">
        <v>33</v>
      </c>
      <c r="P3" s="14"/>
      <c r="Q3" s="14"/>
      <c r="R3" s="15"/>
      <c r="S3" s="15"/>
      <c r="T3" s="1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6:37" s="13" customFormat="1" ht="12.75">
      <c r="F4" s="18" t="s">
        <v>25</v>
      </c>
      <c r="H4" s="11"/>
      <c r="J4" s="11"/>
      <c r="K4" s="1">
        <v>20</v>
      </c>
      <c r="L4" s="13" t="s">
        <v>34</v>
      </c>
      <c r="P4" s="14"/>
      <c r="Q4" s="14"/>
      <c r="R4" s="15"/>
      <c r="S4" s="15"/>
      <c r="T4" s="1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spans="6:37" s="13" customFormat="1" ht="12.75">
      <c r="F5" s="18" t="s">
        <v>28</v>
      </c>
      <c r="P5" s="14"/>
      <c r="Q5" s="14"/>
      <c r="R5" s="15"/>
      <c r="S5" s="15"/>
      <c r="T5" s="14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6:37" s="13" customFormat="1" ht="12.75">
      <c r="F6" s="18" t="s">
        <v>29</v>
      </c>
      <c r="P6" s="14"/>
      <c r="Q6" s="14"/>
      <c r="R6" s="15"/>
      <c r="S6" s="15"/>
      <c r="T6" s="19"/>
      <c r="AA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5:50" s="13" customFormat="1" ht="12.75">
      <c r="O7" s="14"/>
      <c r="R7" s="20"/>
      <c r="S7" s="15"/>
      <c r="T7" s="14"/>
      <c r="AA7" s="21" t="s">
        <v>21</v>
      </c>
      <c r="AB7" s="21" t="s">
        <v>21</v>
      </c>
      <c r="AC7" s="16"/>
      <c r="AD7" s="16"/>
      <c r="AE7" s="16"/>
      <c r="AF7" s="16"/>
      <c r="AG7" s="16"/>
      <c r="AH7" s="16"/>
      <c r="AI7" s="16"/>
      <c r="AJ7" s="16"/>
      <c r="AK7" s="16"/>
      <c r="AN7" s="21" t="s">
        <v>23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2:50" s="13" customFormat="1" ht="15.75">
      <c r="B8" s="9" t="s">
        <v>0</v>
      </c>
      <c r="P8" s="14"/>
      <c r="Q8" s="14"/>
      <c r="R8" s="15"/>
      <c r="S8" s="15"/>
      <c r="T8" s="14"/>
      <c r="Z8" s="22">
        <v>1</v>
      </c>
      <c r="AA8" s="22">
        <v>50</v>
      </c>
      <c r="AB8" s="22">
        <v>100</v>
      </c>
      <c r="AC8" s="22">
        <v>150</v>
      </c>
      <c r="AD8" s="22">
        <v>250</v>
      </c>
      <c r="AE8" s="22">
        <v>500</v>
      </c>
      <c r="AF8" s="22">
        <v>750</v>
      </c>
      <c r="AG8" s="22">
        <v>1000</v>
      </c>
      <c r="AH8" s="22">
        <v>1500</v>
      </c>
      <c r="AI8" s="22">
        <v>2000</v>
      </c>
      <c r="AJ8" s="22">
        <v>3000</v>
      </c>
      <c r="AK8" s="22">
        <v>5000</v>
      </c>
      <c r="AM8" s="22">
        <v>1</v>
      </c>
      <c r="AN8" s="22">
        <v>50</v>
      </c>
      <c r="AO8" s="22">
        <v>100</v>
      </c>
      <c r="AP8" s="22">
        <v>150</v>
      </c>
      <c r="AQ8" s="22">
        <v>250</v>
      </c>
      <c r="AR8" s="22">
        <v>500</v>
      </c>
      <c r="AS8" s="22">
        <v>750</v>
      </c>
      <c r="AT8" s="22">
        <v>1000</v>
      </c>
      <c r="AU8" s="22">
        <v>1500</v>
      </c>
      <c r="AV8" s="22">
        <v>2000</v>
      </c>
      <c r="AW8" s="22">
        <v>3000</v>
      </c>
      <c r="AX8" s="22">
        <v>5000</v>
      </c>
    </row>
    <row r="9" spans="1:24" s="32" customFormat="1" ht="28.5" customHeight="1">
      <c r="A9" s="23" t="s">
        <v>1</v>
      </c>
      <c r="B9" s="24"/>
      <c r="C9" s="25" t="s">
        <v>2</v>
      </c>
      <c r="D9" s="25" t="s">
        <v>3</v>
      </c>
      <c r="E9" s="25"/>
      <c r="F9" s="26" t="s">
        <v>4</v>
      </c>
      <c r="G9" s="27"/>
      <c r="H9" s="28" t="s">
        <v>27</v>
      </c>
      <c r="I9" s="28" t="s">
        <v>31</v>
      </c>
      <c r="J9" s="28" t="s">
        <v>6</v>
      </c>
      <c r="K9" s="29"/>
      <c r="L9" s="26" t="s">
        <v>5</v>
      </c>
      <c r="M9" s="27"/>
      <c r="N9" s="28" t="s">
        <v>26</v>
      </c>
      <c r="O9" s="25"/>
      <c r="P9" s="28" t="s">
        <v>32</v>
      </c>
      <c r="Q9" s="30" t="s">
        <v>6</v>
      </c>
      <c r="R9" s="31"/>
      <c r="S9" s="32" t="s">
        <v>20</v>
      </c>
      <c r="T9" s="32" t="s">
        <v>19</v>
      </c>
      <c r="X9" s="32" t="s">
        <v>8</v>
      </c>
    </row>
    <row r="10" spans="1:50" ht="12.75">
      <c r="A10" s="33">
        <f>K3</f>
        <v>208</v>
      </c>
      <c r="B10" s="2"/>
      <c r="C10" s="34">
        <v>0.8333333333333334</v>
      </c>
      <c r="D10" s="34">
        <v>1.2</v>
      </c>
      <c r="E10" s="35"/>
      <c r="F10" s="36" t="str">
        <f>IF($A$10&lt;$X10,$A$10*C10,"---")</f>
        <v>---</v>
      </c>
      <c r="G10" s="37" t="s">
        <v>18</v>
      </c>
      <c r="H10" s="38" t="str">
        <f>IF(F10="---","---",$K$3)</f>
        <v>---</v>
      </c>
      <c r="I10" s="39" t="str">
        <f>IF(S10="---","---",(IF(H10="---","---",CONCATENATE("416-11"&amp;S10&amp;"-000"))))</f>
        <v>---</v>
      </c>
      <c r="J10" s="39" t="str">
        <f>IF(S10="---","---",R10)</f>
        <v>---</v>
      </c>
      <c r="K10" s="40" t="s">
        <v>17</v>
      </c>
      <c r="L10" s="36" t="str">
        <f>IF(($A$10*D10&lt;$X10),$A$10*D10,"---")</f>
        <v>---</v>
      </c>
      <c r="M10" s="37" t="s">
        <v>18</v>
      </c>
      <c r="N10" s="38" t="str">
        <f>IF(L10="---","---",$K$3)</f>
        <v>---</v>
      </c>
      <c r="O10" s="41"/>
      <c r="P10" s="39" t="str">
        <f>IF(T10="---","---",(IF(N10="---","---",CONCATENATE("416-11"&amp;T10&amp;"-000"))))</f>
        <v>---</v>
      </c>
      <c r="Q10" s="39" t="str">
        <f>IF(T10="---","---",R10)</f>
        <v>---</v>
      </c>
      <c r="R10" s="2">
        <v>2</v>
      </c>
      <c r="S10" s="42" t="str">
        <f>IF((AND(F10="---",H10="---")),"---",IF(ISERROR((HLOOKUP($A$20,AM10:AX$21,U10))),"---",(HLOOKUP($A$20,AM10:AX$21,U10))))</f>
        <v>---</v>
      </c>
      <c r="T10" s="42" t="str">
        <f>IF((AND(L10="---",N10="---")),"---",(IF(ISERROR(HLOOKUP($A$20,Z10:AK$21,U10)),"---",HLOOKUP($A$20,Z10:AK$21,U10))))</f>
        <v>---</v>
      </c>
      <c r="U10" s="43">
        <v>12</v>
      </c>
      <c r="V10" s="43">
        <v>120</v>
      </c>
      <c r="W10" s="43">
        <v>24</v>
      </c>
      <c r="X10" s="43">
        <f>(V10+W10)*1.05</f>
        <v>151.20000000000002</v>
      </c>
      <c r="Z10" s="44">
        <f>Z$8*(1/$W10)</f>
        <v>0.041666666666666664</v>
      </c>
      <c r="AA10" s="44">
        <f>AA$8*(1/$W10)</f>
        <v>2.083333333333333</v>
      </c>
      <c r="AB10" s="44">
        <f>AB$8*(1/$W10)</f>
        <v>4.166666666666666</v>
      </c>
      <c r="AC10" s="44">
        <f aca="true" t="shared" si="0" ref="AC10:AK20">AC$8*(1/$W10)</f>
        <v>6.25</v>
      </c>
      <c r="AD10" s="44">
        <f t="shared" si="0"/>
        <v>10.416666666666666</v>
      </c>
      <c r="AE10" s="44">
        <f t="shared" si="0"/>
        <v>20.833333333333332</v>
      </c>
      <c r="AF10" s="44">
        <f t="shared" si="0"/>
        <v>31.25</v>
      </c>
      <c r="AG10" s="44">
        <f t="shared" si="0"/>
        <v>41.666666666666664</v>
      </c>
      <c r="AH10" s="44">
        <f t="shared" si="0"/>
        <v>62.5</v>
      </c>
      <c r="AI10" s="44">
        <f t="shared" si="0"/>
        <v>83.33333333333333</v>
      </c>
      <c r="AJ10" s="44">
        <f t="shared" si="0"/>
        <v>125</v>
      </c>
      <c r="AK10" s="44">
        <f t="shared" si="0"/>
        <v>208.33333333333331</v>
      </c>
      <c r="AL10" s="14"/>
      <c r="AM10" s="45">
        <f aca="true" t="shared" si="1" ref="AM10:AX20">AM$8*(1/$W10)+(AM$8*(1/$V10))</f>
        <v>0.049999999999999996</v>
      </c>
      <c r="AN10" s="45">
        <f t="shared" si="1"/>
        <v>2.4999999999999996</v>
      </c>
      <c r="AO10" s="45">
        <f t="shared" si="1"/>
        <v>4.999999999999999</v>
      </c>
      <c r="AP10" s="45">
        <f t="shared" si="1"/>
        <v>7.5</v>
      </c>
      <c r="AQ10" s="45">
        <f t="shared" si="1"/>
        <v>12.5</v>
      </c>
      <c r="AR10" s="45">
        <f t="shared" si="1"/>
        <v>25</v>
      </c>
      <c r="AS10" s="45">
        <f t="shared" si="1"/>
        <v>37.5</v>
      </c>
      <c r="AT10" s="45">
        <f t="shared" si="1"/>
        <v>50</v>
      </c>
      <c r="AU10" s="45">
        <f t="shared" si="1"/>
        <v>75</v>
      </c>
      <c r="AV10" s="45">
        <f t="shared" si="1"/>
        <v>100</v>
      </c>
      <c r="AW10" s="45">
        <f t="shared" si="1"/>
        <v>150</v>
      </c>
      <c r="AX10" s="45">
        <f t="shared" si="1"/>
        <v>249.99999999999997</v>
      </c>
    </row>
    <row r="11" spans="1:50" ht="12.75">
      <c r="A11" s="46"/>
      <c r="B11" s="2"/>
      <c r="C11" s="34">
        <v>0.9083333333333333</v>
      </c>
      <c r="D11" s="34">
        <v>1.1009174311926606</v>
      </c>
      <c r="E11" s="35"/>
      <c r="F11" s="36" t="str">
        <f>IF($A$10&lt;$X11,$A$10*C11,"---")</f>
        <v>---</v>
      </c>
      <c r="G11" s="37" t="s">
        <v>18</v>
      </c>
      <c r="H11" s="38" t="str">
        <f aca="true" t="shared" si="2" ref="H11:H20">IF(F11="---","---",$K$3)</f>
        <v>---</v>
      </c>
      <c r="I11" s="39" t="str">
        <f>IF(S11="---","---",(IF(H11="---","---",CONCATENATE("416-11"&amp;S11&amp;"-000"))))</f>
        <v>---</v>
      </c>
      <c r="J11" s="39" t="str">
        <f aca="true" t="shared" si="3" ref="J11:J20">IF(S11="---","---",R11)</f>
        <v>---</v>
      </c>
      <c r="K11" s="40" t="s">
        <v>17</v>
      </c>
      <c r="L11" s="36" t="str">
        <f>IF(($A$10*D11&lt;$X11),$A$10*D11,"---")</f>
        <v>---</v>
      </c>
      <c r="M11" s="37" t="s">
        <v>18</v>
      </c>
      <c r="N11" s="38" t="str">
        <f aca="true" t="shared" si="4" ref="N11:N20">IF(L11="---","---",$K$3)</f>
        <v>---</v>
      </c>
      <c r="O11" s="41"/>
      <c r="P11" s="39" t="str">
        <f>IF(T11="---","---",(IF(N11="---","---",CONCATENATE("416-11"&amp;T11&amp;"-000"))))</f>
        <v>---</v>
      </c>
      <c r="Q11" s="39" t="str">
        <f aca="true" t="shared" si="5" ref="Q11:Q20">IF(T11="---","---",R11)</f>
        <v>---</v>
      </c>
      <c r="R11" s="2">
        <v>1</v>
      </c>
      <c r="S11" s="42" t="str">
        <f>IF((AND(F11="---",H11="---")),"---",IF(ISERROR((HLOOKUP($A$20,AM11:AX$21,U11))),"---",(HLOOKUP($A$20,AM11:AX$21,U11))))</f>
        <v>---</v>
      </c>
      <c r="T11" s="42" t="str">
        <f>IF((AND(L11="---",N11="---")),"---",(IF(ISERROR(HLOOKUP($A$20,Z11:AK$21,U11)),"---",HLOOKUP($A$20,Z11:AK$21,U11))))</f>
        <v>---</v>
      </c>
      <c r="U11" s="43">
        <v>11</v>
      </c>
      <c r="V11" s="43">
        <v>120</v>
      </c>
      <c r="W11" s="43">
        <v>12</v>
      </c>
      <c r="X11" s="43">
        <f>(V11+W11)*1.05</f>
        <v>138.6</v>
      </c>
      <c r="Z11" s="44">
        <f>Z$8*(1/$W11)</f>
        <v>0.08333333333333333</v>
      </c>
      <c r="AA11" s="44">
        <f aca="true" t="shared" si="6" ref="AA11:AB20">AA$8*(1/$W11)</f>
        <v>4.166666666666666</v>
      </c>
      <c r="AB11" s="44">
        <f t="shared" si="6"/>
        <v>8.333333333333332</v>
      </c>
      <c r="AC11" s="44">
        <f t="shared" si="0"/>
        <v>12.5</v>
      </c>
      <c r="AD11" s="44">
        <f t="shared" si="0"/>
        <v>20.833333333333332</v>
      </c>
      <c r="AE11" s="44">
        <f t="shared" si="0"/>
        <v>41.666666666666664</v>
      </c>
      <c r="AF11" s="44">
        <f t="shared" si="0"/>
        <v>62.5</v>
      </c>
      <c r="AG11" s="44">
        <f t="shared" si="0"/>
        <v>83.33333333333333</v>
      </c>
      <c r="AH11" s="44">
        <f t="shared" si="0"/>
        <v>125</v>
      </c>
      <c r="AI11" s="44">
        <f t="shared" si="0"/>
        <v>166.66666666666666</v>
      </c>
      <c r="AJ11" s="44">
        <f t="shared" si="0"/>
        <v>250</v>
      </c>
      <c r="AK11" s="44">
        <f t="shared" si="0"/>
        <v>416.66666666666663</v>
      </c>
      <c r="AL11" s="14"/>
      <c r="AM11" s="45">
        <f t="shared" si="1"/>
        <v>0.09166666666666666</v>
      </c>
      <c r="AN11" s="45">
        <f t="shared" si="1"/>
        <v>4.583333333333333</v>
      </c>
      <c r="AO11" s="45">
        <f t="shared" si="1"/>
        <v>9.166666666666666</v>
      </c>
      <c r="AP11" s="45">
        <f t="shared" si="1"/>
        <v>13.75</v>
      </c>
      <c r="AQ11" s="45">
        <f t="shared" si="1"/>
        <v>22.916666666666664</v>
      </c>
      <c r="AR11" s="45">
        <f t="shared" si="1"/>
        <v>45.83333333333333</v>
      </c>
      <c r="AS11" s="45">
        <f t="shared" si="1"/>
        <v>68.75</v>
      </c>
      <c r="AT11" s="45">
        <f t="shared" si="1"/>
        <v>91.66666666666666</v>
      </c>
      <c r="AU11" s="45">
        <f t="shared" si="1"/>
        <v>137.5</v>
      </c>
      <c r="AV11" s="45">
        <f t="shared" si="1"/>
        <v>183.33333333333331</v>
      </c>
      <c r="AW11" s="45">
        <f t="shared" si="1"/>
        <v>275</v>
      </c>
      <c r="AX11" s="45">
        <f t="shared" si="1"/>
        <v>458.3333333333333</v>
      </c>
    </row>
    <row r="12" spans="1:50" ht="12.75">
      <c r="A12" s="46"/>
      <c r="B12" s="2"/>
      <c r="C12" s="34">
        <v>0.9083333333333333</v>
      </c>
      <c r="D12" s="34">
        <v>1.1009174311926606</v>
      </c>
      <c r="E12" s="35"/>
      <c r="F12" s="36">
        <f>IF($A$10&lt;$X12,$A$10*C12,"---")</f>
        <v>188.93333333333334</v>
      </c>
      <c r="G12" s="37" t="s">
        <v>18</v>
      </c>
      <c r="H12" s="38">
        <f t="shared" si="2"/>
        <v>208</v>
      </c>
      <c r="I12" s="39" t="str">
        <f>IF(S12="---","---",(IF(H12="---","---",CONCATENATE("416-11"&amp;S12&amp;"-000"))))</f>
        <v>416-1131-000</v>
      </c>
      <c r="J12" s="39">
        <f t="shared" si="3"/>
        <v>4</v>
      </c>
      <c r="K12" s="40" t="s">
        <v>17</v>
      </c>
      <c r="L12" s="36">
        <f>IF(($A$10*D12&lt;$X12),$A$10*D12,"---")</f>
        <v>228.99082568807341</v>
      </c>
      <c r="M12" s="37" t="s">
        <v>18</v>
      </c>
      <c r="N12" s="38">
        <f t="shared" si="4"/>
        <v>208</v>
      </c>
      <c r="O12" s="41"/>
      <c r="P12" s="39" t="str">
        <f>IF(T12="---","---",(IF(N12="---","---",CONCATENATE("416-11"&amp;T12&amp;"-000"))))</f>
        <v>416-1131-000</v>
      </c>
      <c r="Q12" s="39">
        <f t="shared" si="5"/>
        <v>4</v>
      </c>
      <c r="R12" s="2">
        <v>4</v>
      </c>
      <c r="S12" s="42">
        <f>IF((AND(F12="---",H12="---")),"---",IF(ISERROR((HLOOKUP($A$20,AM12:AX$21,U12))),"---",(HLOOKUP($A$20,AM12:AX$21,U12))))</f>
        <v>31</v>
      </c>
      <c r="T12" s="42">
        <f>IF((AND(L12="---",N12="---")),"---",(IF(ISERROR(HLOOKUP($A$20,Z12:AK$21,U12)),"---",HLOOKUP($A$20,Z12:AK$21,U12))))</f>
        <v>31</v>
      </c>
      <c r="U12" s="43">
        <v>10</v>
      </c>
      <c r="V12" s="43">
        <v>240</v>
      </c>
      <c r="W12" s="43">
        <v>24</v>
      </c>
      <c r="X12" s="43">
        <f>(V12+W12)*1.05</f>
        <v>277.2</v>
      </c>
      <c r="Z12" s="44">
        <f>Z$8*(1/$W12)</f>
        <v>0.041666666666666664</v>
      </c>
      <c r="AA12" s="44">
        <f t="shared" si="6"/>
        <v>2.083333333333333</v>
      </c>
      <c r="AB12" s="44">
        <f t="shared" si="6"/>
        <v>4.166666666666666</v>
      </c>
      <c r="AC12" s="44">
        <f t="shared" si="0"/>
        <v>6.25</v>
      </c>
      <c r="AD12" s="44">
        <f t="shared" si="0"/>
        <v>10.416666666666666</v>
      </c>
      <c r="AE12" s="44">
        <f t="shared" si="0"/>
        <v>20.833333333333332</v>
      </c>
      <c r="AF12" s="44">
        <f t="shared" si="0"/>
        <v>31.25</v>
      </c>
      <c r="AG12" s="44">
        <f t="shared" si="0"/>
        <v>41.666666666666664</v>
      </c>
      <c r="AH12" s="44">
        <f t="shared" si="0"/>
        <v>62.5</v>
      </c>
      <c r="AI12" s="44">
        <f t="shared" si="0"/>
        <v>83.33333333333333</v>
      </c>
      <c r="AJ12" s="44">
        <f t="shared" si="0"/>
        <v>125</v>
      </c>
      <c r="AK12" s="44">
        <f t="shared" si="0"/>
        <v>208.33333333333331</v>
      </c>
      <c r="AL12" s="14"/>
      <c r="AM12" s="45">
        <f>AM$8*(1/$W12)+(AM$8*(1/$V12))</f>
        <v>0.04583333333333333</v>
      </c>
      <c r="AN12" s="45">
        <f t="shared" si="1"/>
        <v>2.2916666666666665</v>
      </c>
      <c r="AO12" s="45">
        <f t="shared" si="1"/>
        <v>4.583333333333333</v>
      </c>
      <c r="AP12" s="45">
        <f t="shared" si="1"/>
        <v>6.875</v>
      </c>
      <c r="AQ12" s="45">
        <f t="shared" si="1"/>
        <v>11.458333333333332</v>
      </c>
      <c r="AR12" s="45">
        <f t="shared" si="1"/>
        <v>22.916666666666664</v>
      </c>
      <c r="AS12" s="45">
        <f t="shared" si="1"/>
        <v>34.375</v>
      </c>
      <c r="AT12" s="45">
        <f t="shared" si="1"/>
        <v>45.83333333333333</v>
      </c>
      <c r="AU12" s="45">
        <f t="shared" si="1"/>
        <v>68.75</v>
      </c>
      <c r="AV12" s="45">
        <f t="shared" si="1"/>
        <v>91.66666666666666</v>
      </c>
      <c r="AW12" s="45">
        <f t="shared" si="1"/>
        <v>137.5</v>
      </c>
      <c r="AX12" s="45">
        <f t="shared" si="1"/>
        <v>229.16666666666666</v>
      </c>
    </row>
    <row r="13" spans="1:50" ht="12.75">
      <c r="A13" s="46"/>
      <c r="B13" s="2"/>
      <c r="C13" s="34">
        <v>0.9523809523809523</v>
      </c>
      <c r="D13" s="34">
        <v>1.05</v>
      </c>
      <c r="E13" s="35"/>
      <c r="F13" s="36">
        <f aca="true" t="shared" si="7" ref="F13:F20">IF($A$10&lt;$X13,$A$10*C13,"---")</f>
        <v>198.09523809523807</v>
      </c>
      <c r="G13" s="37" t="s">
        <v>18</v>
      </c>
      <c r="H13" s="38">
        <f t="shared" si="2"/>
        <v>208</v>
      </c>
      <c r="I13" s="39" t="str">
        <f>IF(S13="---","---",(IF(H13="---","---",CONCATENATE("416-11"&amp;S13&amp;"-000"))))</f>
        <v>416-1121-000</v>
      </c>
      <c r="J13" s="39">
        <f t="shared" si="3"/>
        <v>3</v>
      </c>
      <c r="K13" s="40" t="s">
        <v>17</v>
      </c>
      <c r="L13" s="36">
        <f>IF(($A$10*D13&lt;$X13),$A$10*D13,"---")</f>
        <v>218.4</v>
      </c>
      <c r="M13" s="37" t="s">
        <v>18</v>
      </c>
      <c r="N13" s="38">
        <f t="shared" si="4"/>
        <v>208</v>
      </c>
      <c r="O13" s="41"/>
      <c r="P13" s="39" t="str">
        <f>IF(T13="---","---",(IF(N13="---","---",CONCATENATE("416-11"&amp;T13&amp;"-000"))))</f>
        <v>416-1121-000</v>
      </c>
      <c r="Q13" s="39">
        <f t="shared" si="5"/>
        <v>3</v>
      </c>
      <c r="R13" s="2">
        <v>3</v>
      </c>
      <c r="S13" s="42">
        <f>IF((AND(F13="---",H13="---")),"---",IF(ISERROR((HLOOKUP($A$20,AM13:AX$21,U13))),"---",(HLOOKUP($A$20,AM13:AX$21,U13))))</f>
        <v>21</v>
      </c>
      <c r="T13" s="42">
        <f>IF((AND(L13="---",N13="---")),"---",(IF(ISERROR(HLOOKUP($A$20,Z13:AK$21,U13)),"---",HLOOKUP($A$20,Z13:AK$21,U13))))</f>
        <v>21</v>
      </c>
      <c r="U13" s="3">
        <v>9</v>
      </c>
      <c r="V13" s="43">
        <v>240</v>
      </c>
      <c r="W13" s="43">
        <v>12</v>
      </c>
      <c r="X13" s="43">
        <f>(V13+W13)*1.05</f>
        <v>264.6</v>
      </c>
      <c r="Z13" s="44">
        <f>Z$8*(1/$W13)</f>
        <v>0.08333333333333333</v>
      </c>
      <c r="AA13" s="44">
        <f t="shared" si="6"/>
        <v>4.166666666666666</v>
      </c>
      <c r="AB13" s="44">
        <f t="shared" si="6"/>
        <v>8.333333333333332</v>
      </c>
      <c r="AC13" s="44">
        <f t="shared" si="0"/>
        <v>12.5</v>
      </c>
      <c r="AD13" s="44">
        <f t="shared" si="0"/>
        <v>20.833333333333332</v>
      </c>
      <c r="AE13" s="44">
        <f t="shared" si="0"/>
        <v>41.666666666666664</v>
      </c>
      <c r="AF13" s="44">
        <f t="shared" si="0"/>
        <v>62.5</v>
      </c>
      <c r="AG13" s="44">
        <f t="shared" si="0"/>
        <v>83.33333333333333</v>
      </c>
      <c r="AH13" s="44">
        <f t="shared" si="0"/>
        <v>125</v>
      </c>
      <c r="AI13" s="44">
        <f t="shared" si="0"/>
        <v>166.66666666666666</v>
      </c>
      <c r="AJ13" s="44">
        <f t="shared" si="0"/>
        <v>250</v>
      </c>
      <c r="AK13" s="44">
        <f t="shared" si="0"/>
        <v>416.66666666666663</v>
      </c>
      <c r="AL13" s="14"/>
      <c r="AM13" s="45">
        <f>AM$8*(1/$W13)+(AM$8*(1/$V13))</f>
        <v>0.0875</v>
      </c>
      <c r="AN13" s="45">
        <f t="shared" si="1"/>
        <v>4.374999999999999</v>
      </c>
      <c r="AO13" s="45">
        <f t="shared" si="1"/>
        <v>8.749999999999998</v>
      </c>
      <c r="AP13" s="45">
        <f t="shared" si="1"/>
        <v>13.125</v>
      </c>
      <c r="AQ13" s="45">
        <f t="shared" si="1"/>
        <v>21.875</v>
      </c>
      <c r="AR13" s="45">
        <f t="shared" si="1"/>
        <v>43.75</v>
      </c>
      <c r="AS13" s="45">
        <f t="shared" si="1"/>
        <v>65.625</v>
      </c>
      <c r="AT13" s="45">
        <f t="shared" si="1"/>
        <v>87.5</v>
      </c>
      <c r="AU13" s="45">
        <f t="shared" si="1"/>
        <v>131.25</v>
      </c>
      <c r="AV13" s="45">
        <f t="shared" si="1"/>
        <v>175</v>
      </c>
      <c r="AW13" s="45">
        <f t="shared" si="1"/>
        <v>262.5</v>
      </c>
      <c r="AX13" s="45">
        <f t="shared" si="1"/>
        <v>437.49999999999994</v>
      </c>
    </row>
    <row r="14" spans="1:50" ht="12.75">
      <c r="A14" s="46"/>
      <c r="B14" s="2"/>
      <c r="C14" s="47">
        <v>0.8833333333333333</v>
      </c>
      <c r="D14" s="47">
        <v>1.1320754716981132</v>
      </c>
      <c r="E14" s="48"/>
      <c r="F14" s="49" t="str">
        <f t="shared" si="7"/>
        <v>---</v>
      </c>
      <c r="G14" s="50" t="s">
        <v>18</v>
      </c>
      <c r="H14" s="51" t="str">
        <f t="shared" si="2"/>
        <v>---</v>
      </c>
      <c r="I14" s="52" t="str">
        <f>IF(S14="---","---",(IF(H14="---","---",CONCATENATE("416-12"&amp;S14&amp;"-000"))))</f>
        <v>---</v>
      </c>
      <c r="J14" s="53" t="str">
        <f t="shared" si="3"/>
        <v>---</v>
      </c>
      <c r="K14" s="40" t="s">
        <v>17</v>
      </c>
      <c r="L14" s="49" t="str">
        <f aca="true" t="shared" si="8" ref="L14:L20">IF(($A$10*D14&lt;$X14),$A$10*D14,"---")</f>
        <v>---</v>
      </c>
      <c r="M14" s="50" t="s">
        <v>18</v>
      </c>
      <c r="N14" s="51" t="str">
        <f t="shared" si="4"/>
        <v>---</v>
      </c>
      <c r="O14" s="54"/>
      <c r="P14" s="53" t="str">
        <f>IF(T14="---","---",(IF(N14="---","---",CONCATENATE("416-12"&amp;T14&amp;"-000"))))</f>
        <v>---</v>
      </c>
      <c r="Q14" s="53" t="str">
        <f t="shared" si="5"/>
        <v>---</v>
      </c>
      <c r="R14" s="2">
        <v>1</v>
      </c>
      <c r="S14" s="42" t="str">
        <f>IF((AND(F14="---",H14="---")),"---",IF(ISERROR((HLOOKUP($A$20,AM14:AX$21,U14))),"---",(HLOOKUP($A$20,AM14:AX$21,U14))))</f>
        <v>---</v>
      </c>
      <c r="T14" s="42" t="str">
        <f>IF((AND(L14="---",N14="---")),"---",(IF(ISERROR(HLOOKUP($A$20,Z14:AK$21,U14)),"---",HLOOKUP($A$20,Z14:AK$21,U14))))</f>
        <v>---</v>
      </c>
      <c r="U14" s="3">
        <v>8</v>
      </c>
      <c r="V14" s="43">
        <v>120</v>
      </c>
      <c r="W14" s="43">
        <v>16</v>
      </c>
      <c r="X14" s="43">
        <f aca="true" t="shared" si="9" ref="X14:X20">(V14+W14)*1.05</f>
        <v>142.8</v>
      </c>
      <c r="Z14" s="44"/>
      <c r="AA14" s="44">
        <f t="shared" si="6"/>
        <v>3.125</v>
      </c>
      <c r="AB14" s="44">
        <f t="shared" si="6"/>
        <v>6.25</v>
      </c>
      <c r="AC14" s="44">
        <f t="shared" si="0"/>
        <v>9.375</v>
      </c>
      <c r="AD14" s="44">
        <f t="shared" si="0"/>
        <v>15.625</v>
      </c>
      <c r="AE14" s="44">
        <f t="shared" si="0"/>
        <v>31.25</v>
      </c>
      <c r="AF14" s="44">
        <f t="shared" si="0"/>
        <v>46.875</v>
      </c>
      <c r="AG14" s="44">
        <f t="shared" si="0"/>
        <v>62.5</v>
      </c>
      <c r="AH14" s="44">
        <f t="shared" si="0"/>
        <v>93.75</v>
      </c>
      <c r="AI14" s="44">
        <f t="shared" si="0"/>
        <v>125</v>
      </c>
      <c r="AJ14" s="44">
        <f t="shared" si="0"/>
        <v>187.5</v>
      </c>
      <c r="AK14" s="44">
        <f t="shared" si="0"/>
        <v>312.5</v>
      </c>
      <c r="AL14" s="14"/>
      <c r="AM14" s="45"/>
      <c r="AN14" s="45">
        <f t="shared" si="1"/>
        <v>3.5416666666666665</v>
      </c>
      <c r="AO14" s="45">
        <f t="shared" si="1"/>
        <v>7.083333333333333</v>
      </c>
      <c r="AP14" s="45">
        <f t="shared" si="1"/>
        <v>10.625</v>
      </c>
      <c r="AQ14" s="45">
        <f t="shared" si="1"/>
        <v>17.708333333333332</v>
      </c>
      <c r="AR14" s="45">
        <f t="shared" si="1"/>
        <v>35.416666666666664</v>
      </c>
      <c r="AS14" s="45">
        <f t="shared" si="1"/>
        <v>53.125</v>
      </c>
      <c r="AT14" s="45">
        <f t="shared" si="1"/>
        <v>70.83333333333333</v>
      </c>
      <c r="AU14" s="45">
        <f t="shared" si="1"/>
        <v>106.25</v>
      </c>
      <c r="AV14" s="45">
        <f t="shared" si="1"/>
        <v>141.66666666666666</v>
      </c>
      <c r="AW14" s="45">
        <f t="shared" si="1"/>
        <v>212.5</v>
      </c>
      <c r="AX14" s="45">
        <f t="shared" si="1"/>
        <v>354.1666666666667</v>
      </c>
    </row>
    <row r="15" spans="1:50" ht="12.75">
      <c r="A15" s="46"/>
      <c r="B15" s="2"/>
      <c r="C15" s="47">
        <v>0.7894736842105263</v>
      </c>
      <c r="D15" s="47">
        <v>1.2666666666666666</v>
      </c>
      <c r="E15" s="48"/>
      <c r="F15" s="49" t="str">
        <f t="shared" si="7"/>
        <v>---</v>
      </c>
      <c r="G15" s="50" t="s">
        <v>18</v>
      </c>
      <c r="H15" s="51" t="str">
        <f t="shared" si="2"/>
        <v>---</v>
      </c>
      <c r="I15" s="52" t="str">
        <f>IF(S15="---","---",(IF(H15="---","---",CONCATENATE("416-12"&amp;S15&amp;"-000"))))</f>
        <v>---</v>
      </c>
      <c r="J15" s="53" t="str">
        <f t="shared" si="3"/>
        <v>---</v>
      </c>
      <c r="K15" s="40" t="s">
        <v>17</v>
      </c>
      <c r="L15" s="49" t="str">
        <f t="shared" si="8"/>
        <v>---</v>
      </c>
      <c r="M15" s="50" t="s">
        <v>18</v>
      </c>
      <c r="N15" s="51" t="str">
        <f t="shared" si="4"/>
        <v>---</v>
      </c>
      <c r="O15" s="54"/>
      <c r="P15" s="53" t="str">
        <f>IF(T15="---","---",(IF(N15="---","---",CONCATENATE("416-12"&amp;T15&amp;"-000"))))</f>
        <v>---</v>
      </c>
      <c r="Q15" s="53" t="str">
        <f t="shared" si="5"/>
        <v>---</v>
      </c>
      <c r="R15" s="2">
        <v>2</v>
      </c>
      <c r="S15" s="42" t="str">
        <f>IF((AND(F15="---",H15="---")),"---",IF(ISERROR((HLOOKUP($A$20,AM15:AX$21,U15))),"---",(HLOOKUP($A$20,AM15:AX$21,U15))))</f>
        <v>---</v>
      </c>
      <c r="T15" s="42" t="str">
        <f>IF((AND(L15="---",N15="---")),"---",(IF(ISERROR(HLOOKUP($A$20,Z15:AK$21,U15)),"---",HLOOKUP($A$20,Z15:AK$21,U15))))</f>
        <v>---</v>
      </c>
      <c r="U15" s="3">
        <v>7</v>
      </c>
      <c r="V15" s="43">
        <v>120</v>
      </c>
      <c r="W15" s="43">
        <v>32</v>
      </c>
      <c r="X15" s="43">
        <f t="shared" si="9"/>
        <v>159.6</v>
      </c>
      <c r="Z15" s="44"/>
      <c r="AA15" s="44">
        <f t="shared" si="6"/>
        <v>1.5625</v>
      </c>
      <c r="AB15" s="44">
        <f t="shared" si="6"/>
        <v>3.125</v>
      </c>
      <c r="AC15" s="44">
        <f t="shared" si="0"/>
        <v>4.6875</v>
      </c>
      <c r="AD15" s="44">
        <f t="shared" si="0"/>
        <v>7.8125</v>
      </c>
      <c r="AE15" s="44">
        <f t="shared" si="0"/>
        <v>15.625</v>
      </c>
      <c r="AF15" s="44">
        <f t="shared" si="0"/>
        <v>23.4375</v>
      </c>
      <c r="AG15" s="44">
        <f t="shared" si="0"/>
        <v>31.25</v>
      </c>
      <c r="AH15" s="44">
        <f t="shared" si="0"/>
        <v>46.875</v>
      </c>
      <c r="AI15" s="44">
        <f t="shared" si="0"/>
        <v>62.5</v>
      </c>
      <c r="AJ15" s="44">
        <f t="shared" si="0"/>
        <v>93.75</v>
      </c>
      <c r="AK15" s="44">
        <f t="shared" si="0"/>
        <v>156.25</v>
      </c>
      <c r="AM15" s="45"/>
      <c r="AN15" s="45">
        <f t="shared" si="1"/>
        <v>1.9791666666666667</v>
      </c>
      <c r="AO15" s="45">
        <f t="shared" si="1"/>
        <v>3.9583333333333335</v>
      </c>
      <c r="AP15" s="45">
        <f t="shared" si="1"/>
        <v>5.9375</v>
      </c>
      <c r="AQ15" s="45">
        <f t="shared" si="1"/>
        <v>9.895833333333334</v>
      </c>
      <c r="AR15" s="45">
        <f t="shared" si="1"/>
        <v>19.791666666666668</v>
      </c>
      <c r="AS15" s="45">
        <f t="shared" si="1"/>
        <v>29.6875</v>
      </c>
      <c r="AT15" s="45">
        <f t="shared" si="1"/>
        <v>39.583333333333336</v>
      </c>
      <c r="AU15" s="45">
        <f t="shared" si="1"/>
        <v>59.375</v>
      </c>
      <c r="AV15" s="45">
        <f t="shared" si="1"/>
        <v>79.16666666666667</v>
      </c>
      <c r="AW15" s="45">
        <f t="shared" si="1"/>
        <v>118.75</v>
      </c>
      <c r="AX15" s="45">
        <f t="shared" si="1"/>
        <v>197.91666666666666</v>
      </c>
    </row>
    <row r="16" spans="1:50" ht="12.75">
      <c r="A16" s="46"/>
      <c r="B16" s="2"/>
      <c r="C16" s="47">
        <v>0.8813559322033898</v>
      </c>
      <c r="D16" s="47">
        <v>1.1346153846153846</v>
      </c>
      <c r="E16" s="48"/>
      <c r="F16" s="49">
        <f t="shared" si="7"/>
        <v>183.32203389830508</v>
      </c>
      <c r="G16" s="50" t="s">
        <v>18</v>
      </c>
      <c r="H16" s="51">
        <f t="shared" si="2"/>
        <v>208</v>
      </c>
      <c r="I16" s="52" t="str">
        <f>IF(S16="---","---",(IF(H16="---","---",CONCATENATE("416-12"&amp;S16&amp;"-000"))))</f>
        <v>416-1241-000</v>
      </c>
      <c r="J16" s="53">
        <f t="shared" si="3"/>
        <v>4</v>
      </c>
      <c r="K16" s="40" t="s">
        <v>17</v>
      </c>
      <c r="L16" s="49">
        <f t="shared" si="8"/>
        <v>236</v>
      </c>
      <c r="M16" s="50" t="s">
        <v>18</v>
      </c>
      <c r="N16" s="51">
        <f t="shared" si="4"/>
        <v>208</v>
      </c>
      <c r="O16" s="54"/>
      <c r="P16" s="53" t="str">
        <f>IF(T16="---","---",(IF(N16="---","---",CONCATENATE("416-12"&amp;T16&amp;"-000"))))</f>
        <v>416-1241-000</v>
      </c>
      <c r="Q16" s="53">
        <f t="shared" si="5"/>
        <v>4</v>
      </c>
      <c r="R16" s="2">
        <v>4</v>
      </c>
      <c r="S16" s="42">
        <f>IF((AND(F16="---",H16="---")),"---",IF(ISERROR((HLOOKUP($A$20,AM16:AX$21,U16))),"---",(HLOOKUP($A$20,AM16:AX$21,U16))))</f>
        <v>41</v>
      </c>
      <c r="T16" s="42">
        <f>IF((AND(L16="---",N16="---")),"---",(IF(ISERROR(HLOOKUP($A$20,Z16:AK$21,U16)),"---",HLOOKUP($A$20,Z16:AK$21,U16))))</f>
        <v>41</v>
      </c>
      <c r="U16" s="3">
        <v>6</v>
      </c>
      <c r="V16" s="43">
        <v>240</v>
      </c>
      <c r="W16" s="43">
        <v>32</v>
      </c>
      <c r="X16" s="43">
        <f t="shared" si="9"/>
        <v>285.6</v>
      </c>
      <c r="Z16" s="44"/>
      <c r="AA16" s="44">
        <f t="shared" si="6"/>
        <v>1.5625</v>
      </c>
      <c r="AB16" s="44">
        <f t="shared" si="6"/>
        <v>3.125</v>
      </c>
      <c r="AC16" s="44">
        <f t="shared" si="0"/>
        <v>4.6875</v>
      </c>
      <c r="AD16" s="44">
        <f t="shared" si="0"/>
        <v>7.8125</v>
      </c>
      <c r="AE16" s="44">
        <f t="shared" si="0"/>
        <v>15.625</v>
      </c>
      <c r="AF16" s="44">
        <f t="shared" si="0"/>
        <v>23.4375</v>
      </c>
      <c r="AG16" s="44">
        <f t="shared" si="0"/>
        <v>31.25</v>
      </c>
      <c r="AH16" s="44">
        <f t="shared" si="0"/>
        <v>46.875</v>
      </c>
      <c r="AI16" s="44">
        <f t="shared" si="0"/>
        <v>62.5</v>
      </c>
      <c r="AJ16" s="44">
        <f t="shared" si="0"/>
        <v>93.75</v>
      </c>
      <c r="AK16" s="44">
        <f t="shared" si="0"/>
        <v>156.25</v>
      </c>
      <c r="AM16" s="45"/>
      <c r="AN16" s="45">
        <f t="shared" si="1"/>
        <v>1.7708333333333333</v>
      </c>
      <c r="AO16" s="45">
        <f t="shared" si="1"/>
        <v>3.5416666666666665</v>
      </c>
      <c r="AP16" s="45">
        <f t="shared" si="1"/>
        <v>5.3125</v>
      </c>
      <c r="AQ16" s="45">
        <f t="shared" si="1"/>
        <v>8.854166666666666</v>
      </c>
      <c r="AR16" s="45">
        <f t="shared" si="1"/>
        <v>17.708333333333332</v>
      </c>
      <c r="AS16" s="45">
        <f t="shared" si="1"/>
        <v>26.5625</v>
      </c>
      <c r="AT16" s="45">
        <f t="shared" si="1"/>
        <v>35.416666666666664</v>
      </c>
      <c r="AU16" s="45">
        <f t="shared" si="1"/>
        <v>53.125</v>
      </c>
      <c r="AV16" s="45">
        <f t="shared" si="1"/>
        <v>70.83333333333333</v>
      </c>
      <c r="AW16" s="45">
        <f t="shared" si="1"/>
        <v>106.25</v>
      </c>
      <c r="AX16" s="45">
        <f t="shared" si="1"/>
        <v>177.08333333333334</v>
      </c>
    </row>
    <row r="17" spans="1:50" ht="12.75">
      <c r="A17" s="46"/>
      <c r="B17" s="2"/>
      <c r="C17" s="47">
        <v>0.9375</v>
      </c>
      <c r="D17" s="47">
        <v>1.0666666666666667</v>
      </c>
      <c r="E17" s="48"/>
      <c r="F17" s="49">
        <f t="shared" si="7"/>
        <v>195</v>
      </c>
      <c r="G17" s="50" t="s">
        <v>18</v>
      </c>
      <c r="H17" s="51">
        <f t="shared" si="2"/>
        <v>208</v>
      </c>
      <c r="I17" s="52" t="str">
        <f>IF(S17="---","---",(IF(H17="---","---",CONCATENATE("416-12"&amp;S17&amp;"-000"))))</f>
        <v>416-1231-000</v>
      </c>
      <c r="J17" s="53">
        <f t="shared" si="3"/>
        <v>3</v>
      </c>
      <c r="K17" s="40" t="s">
        <v>17</v>
      </c>
      <c r="L17" s="49">
        <f t="shared" si="8"/>
        <v>221.86666666666667</v>
      </c>
      <c r="M17" s="50" t="s">
        <v>18</v>
      </c>
      <c r="N17" s="51">
        <f t="shared" si="4"/>
        <v>208</v>
      </c>
      <c r="O17" s="54"/>
      <c r="P17" s="53" t="str">
        <f>IF(T17="---","---",(IF(N17="---","---",CONCATENATE("416-12"&amp;T17&amp;"-000"))))</f>
        <v>416-1231-000</v>
      </c>
      <c r="Q17" s="53">
        <f t="shared" si="5"/>
        <v>3</v>
      </c>
      <c r="R17" s="2">
        <v>3</v>
      </c>
      <c r="S17" s="42">
        <f>IF((AND(F17="---",H17="---")),"---",IF(ISERROR((HLOOKUP($A$20,AM17:AX$21,U17))),"---",(HLOOKUP($A$20,AM17:AX$21,U17))))</f>
        <v>31</v>
      </c>
      <c r="T17" s="42">
        <f>IF((AND(L17="---",N17="---")),"---",(IF(ISERROR(HLOOKUP($A$20,Z17:AK$21,U17)),"---",HLOOKUP($A$20,Z17:AK$21,U17))))</f>
        <v>31</v>
      </c>
      <c r="U17" s="3">
        <v>5</v>
      </c>
      <c r="V17" s="43">
        <v>240</v>
      </c>
      <c r="W17" s="43">
        <v>16</v>
      </c>
      <c r="X17" s="43">
        <f t="shared" si="9"/>
        <v>268.8</v>
      </c>
      <c r="Z17" s="44"/>
      <c r="AA17" s="44">
        <f t="shared" si="6"/>
        <v>3.125</v>
      </c>
      <c r="AB17" s="44">
        <f t="shared" si="6"/>
        <v>6.25</v>
      </c>
      <c r="AC17" s="44">
        <f t="shared" si="0"/>
        <v>9.375</v>
      </c>
      <c r="AD17" s="44">
        <f t="shared" si="0"/>
        <v>15.625</v>
      </c>
      <c r="AE17" s="44">
        <f t="shared" si="0"/>
        <v>31.25</v>
      </c>
      <c r="AF17" s="44">
        <f t="shared" si="0"/>
        <v>46.875</v>
      </c>
      <c r="AG17" s="44">
        <f t="shared" si="0"/>
        <v>62.5</v>
      </c>
      <c r="AH17" s="44">
        <f t="shared" si="0"/>
        <v>93.75</v>
      </c>
      <c r="AI17" s="44">
        <f t="shared" si="0"/>
        <v>125</v>
      </c>
      <c r="AJ17" s="44">
        <f t="shared" si="0"/>
        <v>187.5</v>
      </c>
      <c r="AK17" s="44">
        <f t="shared" si="0"/>
        <v>312.5</v>
      </c>
      <c r="AM17" s="45"/>
      <c r="AN17" s="45">
        <f t="shared" si="1"/>
        <v>3.3333333333333335</v>
      </c>
      <c r="AO17" s="45">
        <f t="shared" si="1"/>
        <v>6.666666666666667</v>
      </c>
      <c r="AP17" s="45">
        <f t="shared" si="1"/>
        <v>10</v>
      </c>
      <c r="AQ17" s="45">
        <f t="shared" si="1"/>
        <v>16.666666666666668</v>
      </c>
      <c r="AR17" s="45">
        <f t="shared" si="1"/>
        <v>33.333333333333336</v>
      </c>
      <c r="AS17" s="45">
        <f t="shared" si="1"/>
        <v>50</v>
      </c>
      <c r="AT17" s="45">
        <f t="shared" si="1"/>
        <v>66.66666666666667</v>
      </c>
      <c r="AU17" s="45">
        <f t="shared" si="1"/>
        <v>100</v>
      </c>
      <c r="AV17" s="45">
        <f t="shared" si="1"/>
        <v>133.33333333333334</v>
      </c>
      <c r="AW17" s="45">
        <f t="shared" si="1"/>
        <v>200</v>
      </c>
      <c r="AX17" s="45">
        <f t="shared" si="1"/>
        <v>333.3333333333333</v>
      </c>
    </row>
    <row r="18" spans="1:50" ht="12.75">
      <c r="A18" s="46"/>
      <c r="B18" s="2"/>
      <c r="C18" s="55">
        <v>0.8333333333333334</v>
      </c>
      <c r="D18" s="55">
        <v>1.2</v>
      </c>
      <c r="E18" s="56"/>
      <c r="F18" s="57">
        <f t="shared" si="7"/>
        <v>173.33333333333334</v>
      </c>
      <c r="G18" s="58" t="s">
        <v>18</v>
      </c>
      <c r="H18" s="59">
        <f t="shared" si="2"/>
        <v>208</v>
      </c>
      <c r="I18" s="60" t="str">
        <f>IF(S18="---","---",(IF(H18="---","---",CONCATENATE("416-14"&amp;S18&amp;"-000"))))</f>
        <v>416-1451-000</v>
      </c>
      <c r="J18" s="61">
        <f t="shared" si="3"/>
        <v>2</v>
      </c>
      <c r="K18" s="40" t="s">
        <v>17</v>
      </c>
      <c r="L18" s="57">
        <f t="shared" si="8"/>
        <v>249.6</v>
      </c>
      <c r="M18" s="58" t="s">
        <v>18</v>
      </c>
      <c r="N18" s="59">
        <f t="shared" si="4"/>
        <v>208</v>
      </c>
      <c r="O18" s="62"/>
      <c r="P18" s="61" t="str">
        <f>IF(T18="---","---",(IF(N18="---","---",CONCATENATE("416-14"&amp;T18&amp;"-000"))))</f>
        <v>416-1451-000</v>
      </c>
      <c r="Q18" s="61">
        <f t="shared" si="5"/>
        <v>2</v>
      </c>
      <c r="R18" s="2">
        <v>2</v>
      </c>
      <c r="S18" s="42">
        <f>IF((AND(F18="---",H18="---")),"---",IF(ISERROR((HLOOKUP($A$20,AM18:AX$21,U18))),"---",(HLOOKUP($A$20,AM18:AX$21,U18))))</f>
        <v>51</v>
      </c>
      <c r="T18" s="42">
        <f>IF((AND(L18="---",N18="---")),"---",(IF(ISERROR(HLOOKUP($A$20,Z18:AK$21,U18)),"---",HLOOKUP($A$20,Z18:AK$21,U18))))</f>
        <v>51</v>
      </c>
      <c r="U18" s="3">
        <v>4</v>
      </c>
      <c r="V18" s="43">
        <v>240</v>
      </c>
      <c r="W18" s="43">
        <v>48</v>
      </c>
      <c r="X18" s="43">
        <f t="shared" si="9"/>
        <v>302.40000000000003</v>
      </c>
      <c r="Z18" s="44"/>
      <c r="AA18" s="44">
        <f t="shared" si="6"/>
        <v>1.0416666666666665</v>
      </c>
      <c r="AB18" s="44">
        <f t="shared" si="6"/>
        <v>2.083333333333333</v>
      </c>
      <c r="AC18" s="44">
        <f t="shared" si="0"/>
        <v>3.125</v>
      </c>
      <c r="AD18" s="44">
        <f t="shared" si="0"/>
        <v>5.208333333333333</v>
      </c>
      <c r="AE18" s="44">
        <f t="shared" si="0"/>
        <v>10.416666666666666</v>
      </c>
      <c r="AF18" s="44">
        <f t="shared" si="0"/>
        <v>15.625</v>
      </c>
      <c r="AG18" s="44">
        <f t="shared" si="0"/>
        <v>20.833333333333332</v>
      </c>
      <c r="AH18" s="44">
        <f t="shared" si="0"/>
        <v>31.25</v>
      </c>
      <c r="AI18" s="44">
        <f t="shared" si="0"/>
        <v>41.666666666666664</v>
      </c>
      <c r="AJ18" s="44">
        <f t="shared" si="0"/>
        <v>62.5</v>
      </c>
      <c r="AK18" s="44">
        <f t="shared" si="0"/>
        <v>104.16666666666666</v>
      </c>
      <c r="AM18" s="45"/>
      <c r="AN18" s="45">
        <f t="shared" si="1"/>
        <v>1.2499999999999998</v>
      </c>
      <c r="AO18" s="45">
        <f t="shared" si="1"/>
        <v>2.4999999999999996</v>
      </c>
      <c r="AP18" s="45">
        <f t="shared" si="1"/>
        <v>3.75</v>
      </c>
      <c r="AQ18" s="45">
        <f t="shared" si="1"/>
        <v>6.25</v>
      </c>
      <c r="AR18" s="45">
        <f t="shared" si="1"/>
        <v>12.5</v>
      </c>
      <c r="AS18" s="45">
        <f t="shared" si="1"/>
        <v>18.75</v>
      </c>
      <c r="AT18" s="45">
        <f t="shared" si="1"/>
        <v>25</v>
      </c>
      <c r="AU18" s="45">
        <f t="shared" si="1"/>
        <v>37.5</v>
      </c>
      <c r="AV18" s="45">
        <f t="shared" si="1"/>
        <v>50</v>
      </c>
      <c r="AW18" s="45">
        <f t="shared" si="1"/>
        <v>75</v>
      </c>
      <c r="AX18" s="45">
        <f t="shared" si="1"/>
        <v>124.99999999999999</v>
      </c>
    </row>
    <row r="19" spans="1:50" ht="12.75">
      <c r="A19" s="63" t="s">
        <v>16</v>
      </c>
      <c r="B19" s="2"/>
      <c r="C19" s="55">
        <v>0.9104166666666667</v>
      </c>
      <c r="D19" s="55">
        <v>1.0983981693363845</v>
      </c>
      <c r="E19" s="56"/>
      <c r="F19" s="57">
        <f t="shared" si="7"/>
        <v>189.36666666666667</v>
      </c>
      <c r="G19" s="58" t="s">
        <v>18</v>
      </c>
      <c r="H19" s="59">
        <f t="shared" si="2"/>
        <v>208</v>
      </c>
      <c r="I19" s="60" t="str">
        <f>IF(S19="---","---",(IF(H19="---","---",CONCATENATE("416-14"&amp;S19&amp;"-000"))))</f>
        <v>416-1451-000</v>
      </c>
      <c r="J19" s="61">
        <f t="shared" si="3"/>
        <v>4</v>
      </c>
      <c r="K19" s="40" t="s">
        <v>17</v>
      </c>
      <c r="L19" s="57">
        <f t="shared" si="8"/>
        <v>228.46681922196797</v>
      </c>
      <c r="M19" s="58" t="s">
        <v>18</v>
      </c>
      <c r="N19" s="59">
        <f t="shared" si="4"/>
        <v>208</v>
      </c>
      <c r="O19" s="62"/>
      <c r="P19" s="61" t="str">
        <f>IF(T19="---","---",(IF(N19="---","---",CONCATENATE("416-14"&amp;T19&amp;"-000"))))</f>
        <v>416-1451-000</v>
      </c>
      <c r="Q19" s="61">
        <f t="shared" si="5"/>
        <v>4</v>
      </c>
      <c r="R19" s="2">
        <v>4</v>
      </c>
      <c r="S19" s="42">
        <f>IF((AND(F19="---",H19="---")),"---",IF(ISERROR((HLOOKUP($A$20,AM19:AX$21,U19))),"---",(HLOOKUP($A$20,AM19:AX$21,U19))))</f>
        <v>51</v>
      </c>
      <c r="T19" s="42">
        <f>IF((AND(L19="---",N19="---")),"---",(IF(ISERROR(HLOOKUP($A$20,Z19:AK$21,U19)),"---",HLOOKUP($A$20,Z19:AK$21,U19))))</f>
        <v>51</v>
      </c>
      <c r="U19" s="3">
        <v>3</v>
      </c>
      <c r="V19" s="43">
        <v>480</v>
      </c>
      <c r="W19" s="43">
        <v>48</v>
      </c>
      <c r="X19" s="43">
        <f t="shared" si="9"/>
        <v>554.4</v>
      </c>
      <c r="Z19" s="44"/>
      <c r="AA19" s="44">
        <f t="shared" si="6"/>
        <v>1.0416666666666665</v>
      </c>
      <c r="AB19" s="44">
        <f t="shared" si="6"/>
        <v>2.083333333333333</v>
      </c>
      <c r="AC19" s="44">
        <f t="shared" si="0"/>
        <v>3.125</v>
      </c>
      <c r="AD19" s="44">
        <f t="shared" si="0"/>
        <v>5.208333333333333</v>
      </c>
      <c r="AE19" s="44">
        <f t="shared" si="0"/>
        <v>10.416666666666666</v>
      </c>
      <c r="AF19" s="44">
        <f t="shared" si="0"/>
        <v>15.625</v>
      </c>
      <c r="AG19" s="44">
        <f t="shared" si="0"/>
        <v>20.833333333333332</v>
      </c>
      <c r="AH19" s="44">
        <f t="shared" si="0"/>
        <v>31.25</v>
      </c>
      <c r="AI19" s="44">
        <f t="shared" si="0"/>
        <v>41.666666666666664</v>
      </c>
      <c r="AJ19" s="44">
        <f t="shared" si="0"/>
        <v>62.5</v>
      </c>
      <c r="AK19" s="44">
        <f t="shared" si="0"/>
        <v>104.16666666666666</v>
      </c>
      <c r="AM19" s="45"/>
      <c r="AN19" s="45">
        <f t="shared" si="1"/>
        <v>1.1458333333333333</v>
      </c>
      <c r="AO19" s="45">
        <f t="shared" si="1"/>
        <v>2.2916666666666665</v>
      </c>
      <c r="AP19" s="45">
        <f t="shared" si="1"/>
        <v>3.4375</v>
      </c>
      <c r="AQ19" s="45">
        <f t="shared" si="1"/>
        <v>5.729166666666666</v>
      </c>
      <c r="AR19" s="45">
        <f t="shared" si="1"/>
        <v>11.458333333333332</v>
      </c>
      <c r="AS19" s="45">
        <f t="shared" si="1"/>
        <v>17.1875</v>
      </c>
      <c r="AT19" s="45">
        <f t="shared" si="1"/>
        <v>22.916666666666664</v>
      </c>
      <c r="AU19" s="45">
        <f t="shared" si="1"/>
        <v>34.375</v>
      </c>
      <c r="AV19" s="45">
        <f t="shared" si="1"/>
        <v>45.83333333333333</v>
      </c>
      <c r="AW19" s="45">
        <f t="shared" si="1"/>
        <v>68.75</v>
      </c>
      <c r="AX19" s="45">
        <f t="shared" si="1"/>
        <v>114.58333333333333</v>
      </c>
    </row>
    <row r="20" spans="1:50" ht="12.75">
      <c r="A20" s="64">
        <f>K4</f>
        <v>20</v>
      </c>
      <c r="B20" s="2"/>
      <c r="C20" s="65">
        <v>0.9520833333333333</v>
      </c>
      <c r="D20" s="65">
        <v>1.0503282275711159</v>
      </c>
      <c r="E20" s="66"/>
      <c r="F20" s="57">
        <f t="shared" si="7"/>
        <v>198.03333333333333</v>
      </c>
      <c r="G20" s="58" t="s">
        <v>18</v>
      </c>
      <c r="H20" s="59">
        <f t="shared" si="2"/>
        <v>208</v>
      </c>
      <c r="I20" s="60" t="str">
        <f>IF(S20="---","---",(IF(H20="---","---",CONCATENATE("416-14"&amp;S20&amp;"-000"))))</f>
        <v>416-1431-000</v>
      </c>
      <c r="J20" s="61">
        <f t="shared" si="3"/>
        <v>3</v>
      </c>
      <c r="K20" s="67" t="s">
        <v>17</v>
      </c>
      <c r="L20" s="57">
        <f t="shared" si="8"/>
        <v>218.4682713347921</v>
      </c>
      <c r="M20" s="58" t="s">
        <v>18</v>
      </c>
      <c r="N20" s="59">
        <f t="shared" si="4"/>
        <v>208</v>
      </c>
      <c r="O20" s="68"/>
      <c r="P20" s="61" t="str">
        <f>IF(T20="---","---",(IF(N20="---","---",CONCATENATE("416-14"&amp;T20&amp;"-000"))))</f>
        <v>416-1431-000</v>
      </c>
      <c r="Q20" s="61">
        <f t="shared" si="5"/>
        <v>3</v>
      </c>
      <c r="R20" s="5">
        <v>3</v>
      </c>
      <c r="S20" s="42">
        <f>IF((AND(F20="---",H20="---")),"---",IF(ISERROR((HLOOKUP($A$20,AM20:AX$21,U20))),"---",(HLOOKUP($A$20,AM20:AX$21,U20))))</f>
        <v>31</v>
      </c>
      <c r="T20" s="42">
        <f>IF((AND(L20="---",N20="---")),"---",(IF(ISERROR(HLOOKUP($A$20,Z20:AK$21,U20)),"---",HLOOKUP($A$20,Z20:AK$21,U20))))</f>
        <v>31</v>
      </c>
      <c r="U20" s="3">
        <v>2</v>
      </c>
      <c r="V20" s="43">
        <v>480</v>
      </c>
      <c r="W20" s="43">
        <v>24</v>
      </c>
      <c r="X20" s="43">
        <f t="shared" si="9"/>
        <v>529.2</v>
      </c>
      <c r="Z20" s="44"/>
      <c r="AA20" s="44">
        <f t="shared" si="6"/>
        <v>2.083333333333333</v>
      </c>
      <c r="AB20" s="44">
        <f t="shared" si="6"/>
        <v>4.166666666666666</v>
      </c>
      <c r="AC20" s="44">
        <f t="shared" si="0"/>
        <v>6.25</v>
      </c>
      <c r="AD20" s="44">
        <f t="shared" si="0"/>
        <v>10.416666666666666</v>
      </c>
      <c r="AE20" s="44">
        <f t="shared" si="0"/>
        <v>20.833333333333332</v>
      </c>
      <c r="AF20" s="44">
        <f t="shared" si="0"/>
        <v>31.25</v>
      </c>
      <c r="AG20" s="44">
        <f t="shared" si="0"/>
        <v>41.666666666666664</v>
      </c>
      <c r="AH20" s="44">
        <f t="shared" si="0"/>
        <v>62.5</v>
      </c>
      <c r="AI20" s="44">
        <f t="shared" si="0"/>
        <v>83.33333333333333</v>
      </c>
      <c r="AJ20" s="44">
        <f t="shared" si="0"/>
        <v>125</v>
      </c>
      <c r="AK20" s="44">
        <f t="shared" si="0"/>
        <v>208.33333333333331</v>
      </c>
      <c r="AM20" s="45"/>
      <c r="AN20" s="45">
        <f t="shared" si="1"/>
        <v>2.1874999999999996</v>
      </c>
      <c r="AO20" s="45">
        <f t="shared" si="1"/>
        <v>4.374999999999999</v>
      </c>
      <c r="AP20" s="45">
        <f t="shared" si="1"/>
        <v>6.5625</v>
      </c>
      <c r="AQ20" s="45">
        <f t="shared" si="1"/>
        <v>10.9375</v>
      </c>
      <c r="AR20" s="45">
        <f t="shared" si="1"/>
        <v>21.875</v>
      </c>
      <c r="AS20" s="45">
        <f t="shared" si="1"/>
        <v>32.8125</v>
      </c>
      <c r="AT20" s="45">
        <f t="shared" si="1"/>
        <v>43.75</v>
      </c>
      <c r="AU20" s="45">
        <f t="shared" si="1"/>
        <v>65.625</v>
      </c>
      <c r="AV20" s="45">
        <f t="shared" si="1"/>
        <v>87.5</v>
      </c>
      <c r="AW20" s="45">
        <f t="shared" si="1"/>
        <v>131.25</v>
      </c>
      <c r="AX20" s="45">
        <f t="shared" si="1"/>
        <v>218.74999999999997</v>
      </c>
    </row>
    <row r="21" spans="11:50" ht="12.75">
      <c r="K21" s="3"/>
      <c r="Q21" s="70"/>
      <c r="Y21" s="71" t="s">
        <v>13</v>
      </c>
      <c r="Z21" s="72" t="s">
        <v>30</v>
      </c>
      <c r="AA21" s="72" t="s">
        <v>15</v>
      </c>
      <c r="AB21" s="73">
        <v>11</v>
      </c>
      <c r="AC21" s="73">
        <v>21</v>
      </c>
      <c r="AD21" s="73">
        <v>31</v>
      </c>
      <c r="AE21" s="73">
        <v>41</v>
      </c>
      <c r="AF21" s="73">
        <v>51</v>
      </c>
      <c r="AG21" s="73">
        <v>61</v>
      </c>
      <c r="AH21" s="73">
        <v>71</v>
      </c>
      <c r="AI21" s="73">
        <v>81</v>
      </c>
      <c r="AJ21" s="73">
        <v>91</v>
      </c>
      <c r="AK21" s="72" t="s">
        <v>14</v>
      </c>
      <c r="AM21" s="72" t="s">
        <v>30</v>
      </c>
      <c r="AN21" s="72" t="s">
        <v>15</v>
      </c>
      <c r="AO21" s="73">
        <v>11</v>
      </c>
      <c r="AP21" s="73">
        <v>21</v>
      </c>
      <c r="AQ21" s="73">
        <v>31</v>
      </c>
      <c r="AR21" s="73">
        <v>41</v>
      </c>
      <c r="AS21" s="73">
        <v>51</v>
      </c>
      <c r="AT21" s="73">
        <v>61</v>
      </c>
      <c r="AU21" s="73">
        <v>71</v>
      </c>
      <c r="AV21" s="73">
        <v>81</v>
      </c>
      <c r="AW21" s="73">
        <v>91</v>
      </c>
      <c r="AX21" s="72" t="s">
        <v>14</v>
      </c>
    </row>
    <row r="22" spans="2:11" ht="12.75" hidden="1">
      <c r="B22" s="14"/>
      <c r="K22" s="3"/>
    </row>
    <row r="23" ht="12.75">
      <c r="K23" s="3"/>
    </row>
    <row r="24" spans="2:50" ht="15.75">
      <c r="B24" s="9" t="s">
        <v>7</v>
      </c>
      <c r="K24" s="3"/>
      <c r="AA24" s="16">
        <v>0</v>
      </c>
      <c r="AB24" s="16">
        <v>1</v>
      </c>
      <c r="AC24" s="16">
        <v>11</v>
      </c>
      <c r="AD24" s="16">
        <v>21</v>
      </c>
      <c r="AE24" s="16">
        <v>31</v>
      </c>
      <c r="AF24" s="16">
        <v>41</v>
      </c>
      <c r="AG24" s="16">
        <v>51</v>
      </c>
      <c r="AH24" s="16">
        <v>61</v>
      </c>
      <c r="AI24" s="16">
        <v>71</v>
      </c>
      <c r="AJ24" s="16">
        <v>81</v>
      </c>
      <c r="AK24" s="16">
        <v>91</v>
      </c>
      <c r="AN24" s="16">
        <v>0</v>
      </c>
      <c r="AO24" s="16">
        <v>1</v>
      </c>
      <c r="AP24" s="16">
        <v>11</v>
      </c>
      <c r="AQ24" s="16">
        <v>21</v>
      </c>
      <c r="AR24" s="16">
        <v>31</v>
      </c>
      <c r="AS24" s="16">
        <v>41</v>
      </c>
      <c r="AT24" s="16">
        <v>51</v>
      </c>
      <c r="AU24" s="16">
        <v>61</v>
      </c>
      <c r="AV24" s="16">
        <v>71</v>
      </c>
      <c r="AW24" s="16">
        <v>81</v>
      </c>
      <c r="AX24" s="16">
        <v>91</v>
      </c>
    </row>
    <row r="25" spans="1:50" ht="15.75">
      <c r="A25" s="9"/>
      <c r="B25" s="43" t="s">
        <v>10</v>
      </c>
      <c r="K25" s="3"/>
      <c r="Z25" s="22">
        <v>1</v>
      </c>
      <c r="AA25" s="22">
        <v>50</v>
      </c>
      <c r="AB25" s="22">
        <v>100</v>
      </c>
      <c r="AC25" s="22">
        <v>150</v>
      </c>
      <c r="AD25" s="22">
        <v>250</v>
      </c>
      <c r="AE25" s="22">
        <v>500</v>
      </c>
      <c r="AF25" s="22">
        <v>750</v>
      </c>
      <c r="AG25" s="22">
        <v>1000</v>
      </c>
      <c r="AH25" s="22">
        <v>1500</v>
      </c>
      <c r="AI25" s="22">
        <v>2000</v>
      </c>
      <c r="AJ25" s="22">
        <v>3000</v>
      </c>
      <c r="AK25" s="22">
        <v>5000</v>
      </c>
      <c r="AM25" s="22">
        <v>1</v>
      </c>
      <c r="AN25" s="22">
        <v>50</v>
      </c>
      <c r="AO25" s="22">
        <v>100</v>
      </c>
      <c r="AP25" s="22">
        <v>150</v>
      </c>
      <c r="AQ25" s="22">
        <v>250</v>
      </c>
      <c r="AR25" s="22">
        <v>500</v>
      </c>
      <c r="AS25" s="22">
        <v>750</v>
      </c>
      <c r="AT25" s="22">
        <v>1000</v>
      </c>
      <c r="AU25" s="22">
        <v>1500</v>
      </c>
      <c r="AV25" s="22">
        <v>2000</v>
      </c>
      <c r="AW25" s="22">
        <v>3000</v>
      </c>
      <c r="AX25" s="22">
        <v>5000</v>
      </c>
    </row>
    <row r="26" spans="1:24" s="32" customFormat="1" ht="28.5" customHeight="1">
      <c r="A26" s="23" t="s">
        <v>1</v>
      </c>
      <c r="B26" s="24"/>
      <c r="C26" s="25" t="s">
        <v>2</v>
      </c>
      <c r="D26" s="25" t="s">
        <v>3</v>
      </c>
      <c r="E26" s="25"/>
      <c r="F26" s="26" t="s">
        <v>4</v>
      </c>
      <c r="G26" s="27"/>
      <c r="H26" s="28" t="s">
        <v>27</v>
      </c>
      <c r="I26" s="28" t="s">
        <v>31</v>
      </c>
      <c r="J26" s="28" t="s">
        <v>6</v>
      </c>
      <c r="K26" s="29"/>
      <c r="L26" s="26" t="s">
        <v>5</v>
      </c>
      <c r="M26" s="27"/>
      <c r="N26" s="28" t="s">
        <v>26</v>
      </c>
      <c r="O26" s="25"/>
      <c r="P26" s="28" t="s">
        <v>32</v>
      </c>
      <c r="Q26" s="30" t="s">
        <v>6</v>
      </c>
      <c r="R26" s="31"/>
      <c r="S26" s="32" t="s">
        <v>20</v>
      </c>
      <c r="T26" s="32" t="s">
        <v>19</v>
      </c>
      <c r="X26" s="32" t="s">
        <v>8</v>
      </c>
    </row>
    <row r="27" spans="1:50" s="3" customFormat="1" ht="12.75" customHeight="1">
      <c r="A27" s="33">
        <f>K3</f>
        <v>208</v>
      </c>
      <c r="B27" s="74"/>
      <c r="C27" s="35">
        <v>0.9541666666666667</v>
      </c>
      <c r="D27" s="35">
        <v>1.0480349344978166</v>
      </c>
      <c r="E27" s="35"/>
      <c r="F27" s="36">
        <f>IF($A$10&lt;$X27,$A$10*C27,"---")</f>
        <v>198.46666666666667</v>
      </c>
      <c r="G27" s="37" t="s">
        <v>18</v>
      </c>
      <c r="H27" s="38">
        <f aca="true" t="shared" si="10" ref="H27:H34">IF(F27="---","---",$K$3)</f>
        <v>208</v>
      </c>
      <c r="I27" s="75" t="str">
        <f>IF(S27="---","---",(IF(H27="---","---",CONCATENATE("416-11"&amp;S27&amp;"-000"))))</f>
        <v>416-1121-000</v>
      </c>
      <c r="J27" s="75">
        <f aca="true" t="shared" si="11" ref="J27:J34">IF(S27="---","---",R27)</f>
        <v>11</v>
      </c>
      <c r="K27" s="40" t="s">
        <v>17</v>
      </c>
      <c r="L27" s="36">
        <f>IF(($A$27*D27&lt;$X27),$A$27*D27,"---")</f>
        <v>217.99126637554585</v>
      </c>
      <c r="M27" s="37" t="s">
        <v>18</v>
      </c>
      <c r="N27" s="38">
        <f aca="true" t="shared" si="12" ref="N27:N34">IF(L27="---","---",$K$3)</f>
        <v>208</v>
      </c>
      <c r="O27" s="35"/>
      <c r="P27" s="39" t="str">
        <f>IF(T27="---","---",(IF(N27="---","---",CONCATENATE("416-11"&amp;T27&amp;"-000"))))</f>
        <v>416-1121-000</v>
      </c>
      <c r="Q27" s="39">
        <f>IF(T27="---","---",R27)</f>
        <v>11</v>
      </c>
      <c r="R27" s="2">
        <v>11</v>
      </c>
      <c r="S27" s="76">
        <f>IF((AND(F27="---",H27="---")),"---",IF(ISERROR(HLOOKUP($A$34,AM27:AX$35,$U27)),"---",HLOOKUP($A$34,AM27:AX$35,$U27)))</f>
        <v>21</v>
      </c>
      <c r="T27" s="76">
        <f>IF((AND(L27="---",N27="---")),"---",IF(ISERROR(HLOOKUP($A$34,Z27:AK$35,$U27)),"---",HLOOKUP($A$34,Z27:AK$35,$U27)))</f>
        <v>21</v>
      </c>
      <c r="U27" s="3">
        <v>9</v>
      </c>
      <c r="V27" s="43">
        <v>240</v>
      </c>
      <c r="W27" s="43">
        <v>12</v>
      </c>
      <c r="X27" s="43">
        <f aca="true" t="shared" si="13" ref="X27:X34">(V27+W27)*1.05</f>
        <v>264.6</v>
      </c>
      <c r="Z27" s="44">
        <f>Z$25*(1/($W27))</f>
        <v>0.08333333333333333</v>
      </c>
      <c r="AA27" s="44">
        <f>AA$25*(1/($W27))</f>
        <v>4.166666666666666</v>
      </c>
      <c r="AB27" s="44">
        <f>AB$25*(1/($W27))</f>
        <v>8.333333333333332</v>
      </c>
      <c r="AC27" s="44">
        <f aca="true" t="shared" si="14" ref="AC27:AK27">AC$25*(1/($W27))</f>
        <v>12.5</v>
      </c>
      <c r="AD27" s="44">
        <f t="shared" si="14"/>
        <v>20.833333333333332</v>
      </c>
      <c r="AE27" s="44">
        <f t="shared" si="14"/>
        <v>41.666666666666664</v>
      </c>
      <c r="AF27" s="44">
        <f t="shared" si="14"/>
        <v>62.5</v>
      </c>
      <c r="AG27" s="44">
        <f t="shared" si="14"/>
        <v>83.33333333333333</v>
      </c>
      <c r="AH27" s="44">
        <f t="shared" si="14"/>
        <v>125</v>
      </c>
      <c r="AI27" s="44">
        <f t="shared" si="14"/>
        <v>166.66666666666666</v>
      </c>
      <c r="AJ27" s="44">
        <f t="shared" si="14"/>
        <v>250</v>
      </c>
      <c r="AK27" s="44">
        <f t="shared" si="14"/>
        <v>416.66666666666663</v>
      </c>
      <c r="AM27" s="45">
        <f>AM$25*(1/$W27)+(AM$25*(1/$V27))</f>
        <v>0.0875</v>
      </c>
      <c r="AN27" s="45">
        <f>AN$25*(1/$W27)+(AN$25*(1/$V27))</f>
        <v>4.374999999999999</v>
      </c>
      <c r="AO27" s="45">
        <f>AO$25*(1/$W27)+(AO$25*(1/$V27))</f>
        <v>8.749999999999998</v>
      </c>
      <c r="AP27" s="45">
        <f aca="true" t="shared" si="15" ref="AP27:AX27">AP$25*(1/$W27)+(AP$25*(1/$V27))</f>
        <v>13.125</v>
      </c>
      <c r="AQ27" s="45">
        <f t="shared" si="15"/>
        <v>21.875</v>
      </c>
      <c r="AR27" s="45">
        <f t="shared" si="15"/>
        <v>43.75</v>
      </c>
      <c r="AS27" s="45">
        <f t="shared" si="15"/>
        <v>65.625</v>
      </c>
      <c r="AT27" s="45">
        <f t="shared" si="15"/>
        <v>87.5</v>
      </c>
      <c r="AU27" s="45">
        <f t="shared" si="15"/>
        <v>131.25</v>
      </c>
      <c r="AV27" s="45">
        <f t="shared" si="15"/>
        <v>175</v>
      </c>
      <c r="AW27" s="45">
        <f t="shared" si="15"/>
        <v>262.5</v>
      </c>
      <c r="AX27" s="45">
        <f t="shared" si="15"/>
        <v>437.49999999999994</v>
      </c>
    </row>
    <row r="28" spans="1:50" s="3" customFormat="1" ht="12.75" customHeight="1">
      <c r="A28" s="77"/>
      <c r="B28" s="74"/>
      <c r="C28" s="35">
        <v>0.9043478260869565</v>
      </c>
      <c r="D28" s="35">
        <v>1.1057692307692308</v>
      </c>
      <c r="E28" s="35"/>
      <c r="F28" s="36">
        <f aca="true" t="shared" si="16" ref="F28:F34">IF($A$10&lt;$X28,$A$10*C28,"---")</f>
        <v>188.10434782608695</v>
      </c>
      <c r="G28" s="37" t="s">
        <v>18</v>
      </c>
      <c r="H28" s="38">
        <f t="shared" si="10"/>
        <v>208</v>
      </c>
      <c r="I28" s="75" t="str">
        <f>IF(S28="---","---",(IF(H28="---","---",CONCATENATE("416-11"&amp;S28&amp;"-000"))))</f>
        <v>416-1131-000</v>
      </c>
      <c r="J28" s="75">
        <f t="shared" si="11"/>
        <v>12</v>
      </c>
      <c r="K28" s="40" t="s">
        <v>17</v>
      </c>
      <c r="L28" s="36">
        <f aca="true" t="shared" si="17" ref="L28:L34">IF(($A$27*D28&lt;$X28),$A$27*D28,"---")</f>
        <v>230</v>
      </c>
      <c r="M28" s="37" t="s">
        <v>18</v>
      </c>
      <c r="N28" s="38">
        <f t="shared" si="12"/>
        <v>208</v>
      </c>
      <c r="O28" s="35"/>
      <c r="P28" s="39" t="str">
        <f>IF(T28="---","---",(IF(N28="---","---",CONCATENATE("416-11"&amp;T28&amp;"-000"))))</f>
        <v>416-1131-000</v>
      </c>
      <c r="Q28" s="39">
        <f aca="true" t="shared" si="18" ref="Q28:Q34">IF(T28="---","---",R28)</f>
        <v>12</v>
      </c>
      <c r="R28" s="2">
        <v>12</v>
      </c>
      <c r="S28" s="76">
        <f>IF((AND(F28="---",H28="---")),"---",IF(ISERROR(HLOOKUP($A$34,AM28:AX$35,$U28)),"---",HLOOKUP($A$34,AM28:AX$35,$U28)))</f>
        <v>31</v>
      </c>
      <c r="T28" s="76">
        <f>IF((AND(L28="---",N28="---")),"---",IF(ISERROR(HLOOKUP($A$34,Z28:AK$35,$U28)),"---",HLOOKUP($A$34,Z28:AK$35,$U28)))</f>
        <v>31</v>
      </c>
      <c r="U28" s="3">
        <v>8</v>
      </c>
      <c r="V28" s="43">
        <v>240</v>
      </c>
      <c r="W28" s="43">
        <v>24</v>
      </c>
      <c r="X28" s="43">
        <f t="shared" si="13"/>
        <v>277.2</v>
      </c>
      <c r="Z28" s="44">
        <f>Z$25*(1/($W28))</f>
        <v>0.041666666666666664</v>
      </c>
      <c r="AA28" s="44">
        <f aca="true" t="shared" si="19" ref="AA28:AK34">AA$25*(1/($W28))</f>
        <v>2.083333333333333</v>
      </c>
      <c r="AB28" s="44">
        <f t="shared" si="19"/>
        <v>4.166666666666666</v>
      </c>
      <c r="AC28" s="44">
        <f t="shared" si="19"/>
        <v>6.25</v>
      </c>
      <c r="AD28" s="44">
        <f t="shared" si="19"/>
        <v>10.416666666666666</v>
      </c>
      <c r="AE28" s="44">
        <f t="shared" si="19"/>
        <v>20.833333333333332</v>
      </c>
      <c r="AF28" s="44">
        <f t="shared" si="19"/>
        <v>31.25</v>
      </c>
      <c r="AG28" s="44">
        <f t="shared" si="19"/>
        <v>41.666666666666664</v>
      </c>
      <c r="AH28" s="44">
        <f t="shared" si="19"/>
        <v>62.5</v>
      </c>
      <c r="AI28" s="44">
        <f t="shared" si="19"/>
        <v>83.33333333333333</v>
      </c>
      <c r="AJ28" s="44">
        <f t="shared" si="19"/>
        <v>125</v>
      </c>
      <c r="AK28" s="44">
        <f t="shared" si="19"/>
        <v>208.33333333333331</v>
      </c>
      <c r="AM28" s="45">
        <f>AM$25*(1/$W28)+(AM$25*(1/$V28))</f>
        <v>0.04583333333333333</v>
      </c>
      <c r="AN28" s="45">
        <f aca="true" t="shared" si="20" ref="AN28:AX34">AN$25*(1/$W28)+(AN$25*(1/$V28))</f>
        <v>2.2916666666666665</v>
      </c>
      <c r="AO28" s="45">
        <f t="shared" si="20"/>
        <v>4.583333333333333</v>
      </c>
      <c r="AP28" s="45">
        <f t="shared" si="20"/>
        <v>6.875</v>
      </c>
      <c r="AQ28" s="45">
        <f t="shared" si="20"/>
        <v>11.458333333333332</v>
      </c>
      <c r="AR28" s="45">
        <f t="shared" si="20"/>
        <v>22.916666666666664</v>
      </c>
      <c r="AS28" s="45">
        <f t="shared" si="20"/>
        <v>34.375</v>
      </c>
      <c r="AT28" s="45">
        <f t="shared" si="20"/>
        <v>45.83333333333333</v>
      </c>
      <c r="AU28" s="45">
        <f t="shared" si="20"/>
        <v>68.75</v>
      </c>
      <c r="AV28" s="45">
        <f t="shared" si="20"/>
        <v>91.66666666666666</v>
      </c>
      <c r="AW28" s="45">
        <f t="shared" si="20"/>
        <v>137.5</v>
      </c>
      <c r="AX28" s="45">
        <f t="shared" si="20"/>
        <v>229.16666666666666</v>
      </c>
    </row>
    <row r="29" spans="1:50" s="3" customFormat="1" ht="12.75" customHeight="1">
      <c r="A29" s="78"/>
      <c r="B29" s="74"/>
      <c r="C29" s="48">
        <v>0.9375</v>
      </c>
      <c r="D29" s="48">
        <v>1.0666666666666667</v>
      </c>
      <c r="E29" s="48"/>
      <c r="F29" s="49">
        <f t="shared" si="16"/>
        <v>195</v>
      </c>
      <c r="G29" s="50" t="s">
        <v>18</v>
      </c>
      <c r="H29" s="51">
        <f t="shared" si="10"/>
        <v>208</v>
      </c>
      <c r="I29" s="52" t="str">
        <f>IF(S29="---","---",(IF(H29="---","---",CONCATENATE("416-12"&amp;S29&amp;"-000"))))</f>
        <v>416-1231-000</v>
      </c>
      <c r="J29" s="52">
        <f t="shared" si="11"/>
        <v>11</v>
      </c>
      <c r="K29" s="40" t="s">
        <v>17</v>
      </c>
      <c r="L29" s="49">
        <f t="shared" si="17"/>
        <v>221.86666666666667</v>
      </c>
      <c r="M29" s="50" t="s">
        <v>18</v>
      </c>
      <c r="N29" s="51">
        <f t="shared" si="12"/>
        <v>208</v>
      </c>
      <c r="O29" s="48"/>
      <c r="P29" s="53" t="str">
        <f>IF(T29="---","---",(IF(N29="---","---",CONCATENATE("416-12"&amp;T29&amp;"-000"))))</f>
        <v>416-1231-000</v>
      </c>
      <c r="Q29" s="53">
        <f t="shared" si="18"/>
        <v>11</v>
      </c>
      <c r="R29" s="2">
        <v>11</v>
      </c>
      <c r="S29" s="76">
        <f>IF((AND(F29="---",H29="---")),"---",IF(ISERROR(HLOOKUP($A$34,AM29:AX$35,$U29)),"---",HLOOKUP($A$34,AM29:AX$35,$U29)))</f>
        <v>31</v>
      </c>
      <c r="T29" s="76">
        <f>IF((AND(L29="---",N29="---")),"---",IF(ISERROR(HLOOKUP($A$34,Z29:AK$35,$U29)),"---",HLOOKUP($A$34,Z29:AK$35,$U29)))</f>
        <v>31</v>
      </c>
      <c r="U29" s="3">
        <v>7</v>
      </c>
      <c r="V29" s="43">
        <v>240</v>
      </c>
      <c r="W29" s="43">
        <v>16</v>
      </c>
      <c r="X29" s="43">
        <f t="shared" si="13"/>
        <v>268.8</v>
      </c>
      <c r="Z29" s="44"/>
      <c r="AA29" s="44">
        <f t="shared" si="19"/>
        <v>3.125</v>
      </c>
      <c r="AB29" s="44">
        <f t="shared" si="19"/>
        <v>6.25</v>
      </c>
      <c r="AC29" s="44">
        <f t="shared" si="19"/>
        <v>9.375</v>
      </c>
      <c r="AD29" s="44">
        <f t="shared" si="19"/>
        <v>15.625</v>
      </c>
      <c r="AE29" s="44">
        <f t="shared" si="19"/>
        <v>31.25</v>
      </c>
      <c r="AF29" s="44">
        <f t="shared" si="19"/>
        <v>46.875</v>
      </c>
      <c r="AG29" s="44">
        <f t="shared" si="19"/>
        <v>62.5</v>
      </c>
      <c r="AH29" s="44">
        <f t="shared" si="19"/>
        <v>93.75</v>
      </c>
      <c r="AI29" s="44">
        <f t="shared" si="19"/>
        <v>125</v>
      </c>
      <c r="AJ29" s="44">
        <f t="shared" si="19"/>
        <v>187.5</v>
      </c>
      <c r="AK29" s="44">
        <f t="shared" si="19"/>
        <v>312.5</v>
      </c>
      <c r="AN29" s="45">
        <f t="shared" si="20"/>
        <v>3.3333333333333335</v>
      </c>
      <c r="AO29" s="45">
        <f t="shared" si="20"/>
        <v>6.666666666666667</v>
      </c>
      <c r="AP29" s="45">
        <f t="shared" si="20"/>
        <v>10</v>
      </c>
      <c r="AQ29" s="45">
        <f t="shared" si="20"/>
        <v>16.666666666666668</v>
      </c>
      <c r="AR29" s="45">
        <f t="shared" si="20"/>
        <v>33.333333333333336</v>
      </c>
      <c r="AS29" s="45">
        <f t="shared" si="20"/>
        <v>50</v>
      </c>
      <c r="AT29" s="45">
        <f t="shared" si="20"/>
        <v>66.66666666666667</v>
      </c>
      <c r="AU29" s="45">
        <f t="shared" si="20"/>
        <v>100</v>
      </c>
      <c r="AV29" s="45">
        <f t="shared" si="20"/>
        <v>133.33333333333334</v>
      </c>
      <c r="AW29" s="45">
        <f t="shared" si="20"/>
        <v>200</v>
      </c>
      <c r="AX29" s="45">
        <f t="shared" si="20"/>
        <v>333.3333333333333</v>
      </c>
    </row>
    <row r="30" spans="1:50" s="3" customFormat="1" ht="12.75" customHeight="1">
      <c r="A30" s="78"/>
      <c r="B30" s="74"/>
      <c r="C30" s="48">
        <v>0.8813559322033898</v>
      </c>
      <c r="D30" s="48">
        <v>1.1346153846153846</v>
      </c>
      <c r="E30" s="48"/>
      <c r="F30" s="49">
        <f t="shared" si="16"/>
        <v>183.32203389830508</v>
      </c>
      <c r="G30" s="50" t="s">
        <v>18</v>
      </c>
      <c r="H30" s="51">
        <f t="shared" si="10"/>
        <v>208</v>
      </c>
      <c r="I30" s="52" t="str">
        <f>IF(S30="---","---",(IF(H30="---","---",CONCATENATE("416-12"&amp;S30&amp;"-000"))))</f>
        <v>416-1241-000</v>
      </c>
      <c r="J30" s="52">
        <f t="shared" si="11"/>
        <v>12</v>
      </c>
      <c r="K30" s="40" t="s">
        <v>17</v>
      </c>
      <c r="L30" s="49">
        <f t="shared" si="17"/>
        <v>236</v>
      </c>
      <c r="M30" s="50" t="s">
        <v>18</v>
      </c>
      <c r="N30" s="51">
        <f t="shared" si="12"/>
        <v>208</v>
      </c>
      <c r="O30" s="48"/>
      <c r="P30" s="53" t="str">
        <f>IF(T30="---","---",(IF(N30="---","---",CONCATENATE("416-12"&amp;T30&amp;"-000"))))</f>
        <v>416-1241-000</v>
      </c>
      <c r="Q30" s="53">
        <f t="shared" si="18"/>
        <v>12</v>
      </c>
      <c r="R30" s="2">
        <v>12</v>
      </c>
      <c r="S30" s="76">
        <f>IF((AND(F30="---",H30="---")),"---",IF(ISERROR(HLOOKUP($A$34,AM30:AX$35,$U30)),"---",HLOOKUP($A$34,AM30:AX$35,$U30)))</f>
        <v>41</v>
      </c>
      <c r="T30" s="76">
        <f>IF((AND(L30="---",N30="---")),"---",IF(ISERROR(HLOOKUP($A$34,Z30:AK$35,$U30)),"---",HLOOKUP($A$34,Z30:AK$35,$U30)))</f>
        <v>41</v>
      </c>
      <c r="U30" s="3">
        <v>6</v>
      </c>
      <c r="V30" s="43">
        <v>240</v>
      </c>
      <c r="W30" s="43">
        <v>32</v>
      </c>
      <c r="X30" s="43">
        <f>(V30+W30)*1.05</f>
        <v>285.6</v>
      </c>
      <c r="Z30" s="44"/>
      <c r="AA30" s="44">
        <f t="shared" si="19"/>
        <v>1.5625</v>
      </c>
      <c r="AB30" s="44">
        <f t="shared" si="19"/>
        <v>3.125</v>
      </c>
      <c r="AC30" s="44">
        <f t="shared" si="19"/>
        <v>4.6875</v>
      </c>
      <c r="AD30" s="44">
        <f t="shared" si="19"/>
        <v>7.8125</v>
      </c>
      <c r="AE30" s="44">
        <f t="shared" si="19"/>
        <v>15.625</v>
      </c>
      <c r="AF30" s="44">
        <f t="shared" si="19"/>
        <v>23.4375</v>
      </c>
      <c r="AG30" s="44">
        <f t="shared" si="19"/>
        <v>31.25</v>
      </c>
      <c r="AH30" s="44">
        <f t="shared" si="19"/>
        <v>46.875</v>
      </c>
      <c r="AI30" s="44">
        <f t="shared" si="19"/>
        <v>62.5</v>
      </c>
      <c r="AJ30" s="44">
        <f t="shared" si="19"/>
        <v>93.75</v>
      </c>
      <c r="AK30" s="44">
        <f t="shared" si="19"/>
        <v>156.25</v>
      </c>
      <c r="AN30" s="45">
        <f t="shared" si="20"/>
        <v>1.7708333333333333</v>
      </c>
      <c r="AO30" s="45">
        <f t="shared" si="20"/>
        <v>3.5416666666666665</v>
      </c>
      <c r="AP30" s="45">
        <f t="shared" si="20"/>
        <v>5.3125</v>
      </c>
      <c r="AQ30" s="45">
        <f t="shared" si="20"/>
        <v>8.854166666666666</v>
      </c>
      <c r="AR30" s="45">
        <f t="shared" si="20"/>
        <v>17.708333333333332</v>
      </c>
      <c r="AS30" s="45">
        <f t="shared" si="20"/>
        <v>26.5625</v>
      </c>
      <c r="AT30" s="45">
        <f t="shared" si="20"/>
        <v>35.416666666666664</v>
      </c>
      <c r="AU30" s="45">
        <f t="shared" si="20"/>
        <v>53.125</v>
      </c>
      <c r="AV30" s="45">
        <f t="shared" si="20"/>
        <v>70.83333333333333</v>
      </c>
      <c r="AW30" s="45">
        <f t="shared" si="20"/>
        <v>106.25</v>
      </c>
      <c r="AX30" s="45">
        <f t="shared" si="20"/>
        <v>177.08333333333334</v>
      </c>
    </row>
    <row r="31" spans="1:50" s="3" customFormat="1" ht="12.75" customHeight="1">
      <c r="A31" s="78"/>
      <c r="B31" s="74"/>
      <c r="C31" s="56">
        <v>0.9090909090909091</v>
      </c>
      <c r="D31" s="56">
        <v>1.1</v>
      </c>
      <c r="E31" s="56"/>
      <c r="F31" s="57">
        <f t="shared" si="16"/>
        <v>189.0909090909091</v>
      </c>
      <c r="G31" s="58" t="s">
        <v>18</v>
      </c>
      <c r="H31" s="59">
        <f t="shared" si="10"/>
        <v>208</v>
      </c>
      <c r="I31" s="60" t="str">
        <f>IF(S31="---","---",(IF(H31="---","---",CONCATENATE("416-14"&amp;S31&amp;"-000"))))</f>
        <v>416-1431-000</v>
      </c>
      <c r="J31" s="60">
        <f t="shared" si="11"/>
        <v>9</v>
      </c>
      <c r="K31" s="40" t="s">
        <v>17</v>
      </c>
      <c r="L31" s="57">
        <f t="shared" si="17"/>
        <v>228.8</v>
      </c>
      <c r="M31" s="58" t="s">
        <v>18</v>
      </c>
      <c r="N31" s="59">
        <f t="shared" si="12"/>
        <v>208</v>
      </c>
      <c r="O31" s="56"/>
      <c r="P31" s="61" t="str">
        <f>IF(T31="---","---",(IF(N31="---","---",CONCATENATE("416-14"&amp;T31&amp;"-000"))))</f>
        <v>416-1431-000</v>
      </c>
      <c r="Q31" s="61">
        <f t="shared" si="18"/>
        <v>9</v>
      </c>
      <c r="R31" s="2">
        <v>9</v>
      </c>
      <c r="S31" s="76">
        <f>IF((AND(F31="---",H31="---")),"---",IF(ISERROR(HLOOKUP($A$34,AM31:AX$35,$U31)),"---",HLOOKUP($A$34,AM31:AX$35,$U31)))</f>
        <v>31</v>
      </c>
      <c r="T31" s="76">
        <f>IF((AND(L31="---",N31="---")),"---",IF(ISERROR(HLOOKUP($A$34,Z31:AK$35,$U31)),"---",HLOOKUP($A$34,Z31:AK$35,$U31)))</f>
        <v>31</v>
      </c>
      <c r="U31" s="3">
        <v>5</v>
      </c>
      <c r="V31" s="43">
        <v>240</v>
      </c>
      <c r="W31" s="43">
        <v>24</v>
      </c>
      <c r="X31" s="43">
        <f t="shared" si="13"/>
        <v>277.2</v>
      </c>
      <c r="Z31" s="44"/>
      <c r="AA31" s="44">
        <f t="shared" si="19"/>
        <v>2.083333333333333</v>
      </c>
      <c r="AB31" s="44">
        <f t="shared" si="19"/>
        <v>4.166666666666666</v>
      </c>
      <c r="AC31" s="44">
        <f t="shared" si="19"/>
        <v>6.25</v>
      </c>
      <c r="AD31" s="44">
        <f t="shared" si="19"/>
        <v>10.416666666666666</v>
      </c>
      <c r="AE31" s="44">
        <f t="shared" si="19"/>
        <v>20.833333333333332</v>
      </c>
      <c r="AF31" s="44">
        <f t="shared" si="19"/>
        <v>31.25</v>
      </c>
      <c r="AG31" s="44">
        <f t="shared" si="19"/>
        <v>41.666666666666664</v>
      </c>
      <c r="AH31" s="44">
        <f t="shared" si="19"/>
        <v>62.5</v>
      </c>
      <c r="AI31" s="44">
        <f t="shared" si="19"/>
        <v>83.33333333333333</v>
      </c>
      <c r="AJ31" s="44">
        <f t="shared" si="19"/>
        <v>125</v>
      </c>
      <c r="AK31" s="44">
        <f t="shared" si="19"/>
        <v>208.33333333333331</v>
      </c>
      <c r="AN31" s="45">
        <f t="shared" si="20"/>
        <v>2.2916666666666665</v>
      </c>
      <c r="AO31" s="45">
        <f t="shared" si="20"/>
        <v>4.583333333333333</v>
      </c>
      <c r="AP31" s="45">
        <f t="shared" si="20"/>
        <v>6.875</v>
      </c>
      <c r="AQ31" s="45">
        <f t="shared" si="20"/>
        <v>11.458333333333332</v>
      </c>
      <c r="AR31" s="45">
        <f t="shared" si="20"/>
        <v>22.916666666666664</v>
      </c>
      <c r="AS31" s="45">
        <f t="shared" si="20"/>
        <v>34.375</v>
      </c>
      <c r="AT31" s="45">
        <f t="shared" si="20"/>
        <v>45.83333333333333</v>
      </c>
      <c r="AU31" s="45">
        <f t="shared" si="20"/>
        <v>68.75</v>
      </c>
      <c r="AV31" s="45">
        <f t="shared" si="20"/>
        <v>91.66666666666666</v>
      </c>
      <c r="AW31" s="45">
        <f t="shared" si="20"/>
        <v>137.5</v>
      </c>
      <c r="AX31" s="45">
        <f t="shared" si="20"/>
        <v>229.16666666666666</v>
      </c>
    </row>
    <row r="32" spans="1:50" ht="13.5" customHeight="1">
      <c r="A32" s="79"/>
      <c r="B32" s="74"/>
      <c r="C32" s="56">
        <v>0.8333333333333334</v>
      </c>
      <c r="D32" s="56">
        <v>1.2</v>
      </c>
      <c r="E32" s="56"/>
      <c r="F32" s="57">
        <f t="shared" si="16"/>
        <v>173.33333333333334</v>
      </c>
      <c r="G32" s="58" t="s">
        <v>18</v>
      </c>
      <c r="H32" s="59">
        <f t="shared" si="10"/>
        <v>208</v>
      </c>
      <c r="I32" s="60" t="str">
        <f>IF(S32="---","---",(IF(H32="---","---",CONCATENATE("416-14"&amp;S32&amp;"-000"))))</f>
        <v>416-1451-000</v>
      </c>
      <c r="J32" s="60">
        <f t="shared" si="11"/>
        <v>10</v>
      </c>
      <c r="K32" s="40" t="s">
        <v>17</v>
      </c>
      <c r="L32" s="57">
        <f t="shared" si="17"/>
        <v>249.6</v>
      </c>
      <c r="M32" s="58" t="s">
        <v>18</v>
      </c>
      <c r="N32" s="59">
        <f t="shared" si="12"/>
        <v>208</v>
      </c>
      <c r="O32" s="56"/>
      <c r="P32" s="61" t="str">
        <f>IF(T32="---","---",(IF(N32="---","---",CONCATENATE("416-14"&amp;T32&amp;"-000"))))</f>
        <v>416-1451-000</v>
      </c>
      <c r="Q32" s="61">
        <f t="shared" si="18"/>
        <v>10</v>
      </c>
      <c r="R32" s="2">
        <v>10</v>
      </c>
      <c r="S32" s="76">
        <f>IF((AND(F32="---",H32="---")),"---",IF(ISERROR(HLOOKUP($A$34,AM32:AX$35,$U32)),"---",HLOOKUP($A$34,AM32:AX$35,$U32)))</f>
        <v>51</v>
      </c>
      <c r="T32" s="76">
        <f>IF((AND(L32="---",N32="---")),"---",IF(ISERROR(HLOOKUP($A$34,Z32:AK$35,$U32)),"---",HLOOKUP($A$34,Z32:AK$35,$U32)))</f>
        <v>51</v>
      </c>
      <c r="U32" s="3">
        <v>4</v>
      </c>
      <c r="V32" s="43">
        <v>240</v>
      </c>
      <c r="W32" s="43">
        <v>48</v>
      </c>
      <c r="X32" s="43">
        <f t="shared" si="13"/>
        <v>302.40000000000003</v>
      </c>
      <c r="Z32" s="44"/>
      <c r="AA32" s="44">
        <f t="shared" si="19"/>
        <v>1.0416666666666665</v>
      </c>
      <c r="AB32" s="44">
        <f t="shared" si="19"/>
        <v>2.083333333333333</v>
      </c>
      <c r="AC32" s="44">
        <f t="shared" si="19"/>
        <v>3.125</v>
      </c>
      <c r="AD32" s="44">
        <f t="shared" si="19"/>
        <v>5.208333333333333</v>
      </c>
      <c r="AE32" s="44">
        <f t="shared" si="19"/>
        <v>10.416666666666666</v>
      </c>
      <c r="AF32" s="44">
        <f t="shared" si="19"/>
        <v>15.625</v>
      </c>
      <c r="AG32" s="44">
        <f t="shared" si="19"/>
        <v>20.833333333333332</v>
      </c>
      <c r="AH32" s="44">
        <f t="shared" si="19"/>
        <v>31.25</v>
      </c>
      <c r="AI32" s="44">
        <f t="shared" si="19"/>
        <v>41.666666666666664</v>
      </c>
      <c r="AJ32" s="44">
        <f t="shared" si="19"/>
        <v>62.5</v>
      </c>
      <c r="AK32" s="44">
        <f t="shared" si="19"/>
        <v>104.16666666666666</v>
      </c>
      <c r="AN32" s="45">
        <f t="shared" si="20"/>
        <v>1.2499999999999998</v>
      </c>
      <c r="AO32" s="45">
        <f t="shared" si="20"/>
        <v>2.4999999999999996</v>
      </c>
      <c r="AP32" s="45">
        <f t="shared" si="20"/>
        <v>3.75</v>
      </c>
      <c r="AQ32" s="45">
        <f t="shared" si="20"/>
        <v>6.25</v>
      </c>
      <c r="AR32" s="45">
        <f t="shared" si="20"/>
        <v>12.5</v>
      </c>
      <c r="AS32" s="45">
        <f t="shared" si="20"/>
        <v>18.75</v>
      </c>
      <c r="AT32" s="45">
        <f t="shared" si="20"/>
        <v>25</v>
      </c>
      <c r="AU32" s="45">
        <f t="shared" si="20"/>
        <v>37.5</v>
      </c>
      <c r="AV32" s="45">
        <f t="shared" si="20"/>
        <v>50</v>
      </c>
      <c r="AW32" s="45">
        <f t="shared" si="20"/>
        <v>75</v>
      </c>
      <c r="AX32" s="45">
        <f t="shared" si="20"/>
        <v>124.99999999999999</v>
      </c>
    </row>
    <row r="33" spans="1:50" s="3" customFormat="1" ht="12.75" customHeight="1">
      <c r="A33" s="63" t="s">
        <v>12</v>
      </c>
      <c r="B33" s="74"/>
      <c r="C33" s="56">
        <v>0.9520833333333333</v>
      </c>
      <c r="D33" s="56">
        <v>1.0503282275711159</v>
      </c>
      <c r="E33" s="56"/>
      <c r="F33" s="57">
        <f t="shared" si="16"/>
        <v>198.03333333333333</v>
      </c>
      <c r="G33" s="58" t="s">
        <v>18</v>
      </c>
      <c r="H33" s="59">
        <f t="shared" si="10"/>
        <v>208</v>
      </c>
      <c r="I33" s="60" t="str">
        <f>IF(S33="---","---",(IF(H33="---","---",CONCATENATE("416-14"&amp;S33&amp;"-000"))))</f>
        <v>416-1431-000</v>
      </c>
      <c r="J33" s="60">
        <f t="shared" si="11"/>
        <v>11</v>
      </c>
      <c r="K33" s="40" t="s">
        <v>17</v>
      </c>
      <c r="L33" s="57">
        <f t="shared" si="17"/>
        <v>218.4682713347921</v>
      </c>
      <c r="M33" s="58" t="s">
        <v>18</v>
      </c>
      <c r="N33" s="59">
        <f t="shared" si="12"/>
        <v>208</v>
      </c>
      <c r="O33" s="56"/>
      <c r="P33" s="61" t="str">
        <f>IF(T33="---","---",(IF(N33="---","---",CONCATENATE("416-14"&amp;T33&amp;"-000"))))</f>
        <v>416-1431-000</v>
      </c>
      <c r="Q33" s="61">
        <f t="shared" si="18"/>
        <v>11</v>
      </c>
      <c r="R33" s="2">
        <v>11</v>
      </c>
      <c r="S33" s="76">
        <f>IF((AND(F33="---",H33="---")),"---",IF(ISERROR(HLOOKUP($A$34,AM33:AX$35,$U33)),"---",HLOOKUP($A$34,AM33:AX$35,$U33)))</f>
        <v>31</v>
      </c>
      <c r="T33" s="76">
        <f>IF((AND(L33="---",N33="---")),"---",IF(ISERROR(HLOOKUP($A$34,Z33:AK$35,$U33)),"---",HLOOKUP($A$34,Z33:AK$35,$U33)))</f>
        <v>31</v>
      </c>
      <c r="U33" s="3">
        <v>3</v>
      </c>
      <c r="V33" s="43">
        <v>480</v>
      </c>
      <c r="W33" s="43">
        <v>24</v>
      </c>
      <c r="X33" s="43">
        <f t="shared" si="13"/>
        <v>529.2</v>
      </c>
      <c r="Z33" s="44"/>
      <c r="AA33" s="44">
        <f t="shared" si="19"/>
        <v>2.083333333333333</v>
      </c>
      <c r="AB33" s="44">
        <f t="shared" si="19"/>
        <v>4.166666666666666</v>
      </c>
      <c r="AC33" s="44">
        <f t="shared" si="19"/>
        <v>6.25</v>
      </c>
      <c r="AD33" s="44">
        <f t="shared" si="19"/>
        <v>10.416666666666666</v>
      </c>
      <c r="AE33" s="44">
        <f t="shared" si="19"/>
        <v>20.833333333333332</v>
      </c>
      <c r="AF33" s="44">
        <f t="shared" si="19"/>
        <v>31.25</v>
      </c>
      <c r="AG33" s="44">
        <f t="shared" si="19"/>
        <v>41.666666666666664</v>
      </c>
      <c r="AH33" s="44">
        <f t="shared" si="19"/>
        <v>62.5</v>
      </c>
      <c r="AI33" s="44">
        <f t="shared" si="19"/>
        <v>83.33333333333333</v>
      </c>
      <c r="AJ33" s="44">
        <f t="shared" si="19"/>
        <v>125</v>
      </c>
      <c r="AK33" s="44">
        <f t="shared" si="19"/>
        <v>208.33333333333331</v>
      </c>
      <c r="AN33" s="45">
        <f t="shared" si="20"/>
        <v>2.1874999999999996</v>
      </c>
      <c r="AO33" s="45">
        <f t="shared" si="20"/>
        <v>4.374999999999999</v>
      </c>
      <c r="AP33" s="45">
        <f t="shared" si="20"/>
        <v>6.5625</v>
      </c>
      <c r="AQ33" s="45">
        <f t="shared" si="20"/>
        <v>10.9375</v>
      </c>
      <c r="AR33" s="45">
        <f t="shared" si="20"/>
        <v>21.875</v>
      </c>
      <c r="AS33" s="45">
        <f t="shared" si="20"/>
        <v>32.8125</v>
      </c>
      <c r="AT33" s="45">
        <f t="shared" si="20"/>
        <v>43.75</v>
      </c>
      <c r="AU33" s="45">
        <f t="shared" si="20"/>
        <v>65.625</v>
      </c>
      <c r="AV33" s="45">
        <f t="shared" si="20"/>
        <v>87.5</v>
      </c>
      <c r="AW33" s="45">
        <f t="shared" si="20"/>
        <v>131.25</v>
      </c>
      <c r="AX33" s="45">
        <f t="shared" si="20"/>
        <v>218.74999999999997</v>
      </c>
    </row>
    <row r="34" spans="1:50" s="3" customFormat="1" ht="12.75" customHeight="1">
      <c r="A34" s="64">
        <f>K4</f>
        <v>20</v>
      </c>
      <c r="B34" s="74"/>
      <c r="C34" s="66">
        <v>0.9104166666666667</v>
      </c>
      <c r="D34" s="66">
        <v>1.0983981693363845</v>
      </c>
      <c r="E34" s="66"/>
      <c r="F34" s="57">
        <f t="shared" si="16"/>
        <v>189.36666666666667</v>
      </c>
      <c r="G34" s="58" t="s">
        <v>18</v>
      </c>
      <c r="H34" s="59">
        <f t="shared" si="10"/>
        <v>208</v>
      </c>
      <c r="I34" s="60" t="str">
        <f>IF(S34="---","---",(IF(H34="---","---",CONCATENATE("416-14"&amp;S34&amp;"-000"))))</f>
        <v>416-1451-000</v>
      </c>
      <c r="J34" s="60">
        <f t="shared" si="11"/>
        <v>12</v>
      </c>
      <c r="K34" s="67" t="s">
        <v>17</v>
      </c>
      <c r="L34" s="57">
        <f t="shared" si="17"/>
        <v>228.46681922196797</v>
      </c>
      <c r="M34" s="58" t="s">
        <v>18</v>
      </c>
      <c r="N34" s="59">
        <f t="shared" si="12"/>
        <v>208</v>
      </c>
      <c r="O34" s="66"/>
      <c r="P34" s="61" t="str">
        <f>IF(T34="---","---",(IF(N34="---","---",CONCATENATE("416-14"&amp;T34&amp;"-000"))))</f>
        <v>416-1451-000</v>
      </c>
      <c r="Q34" s="61">
        <f t="shared" si="18"/>
        <v>12</v>
      </c>
      <c r="R34" s="5">
        <v>12</v>
      </c>
      <c r="S34" s="76">
        <f>IF((AND(F34="---",H34="---")),"---",IF(ISERROR(HLOOKUP($A$34,AM34:AX$35,$U34)),"---",HLOOKUP($A$34,AM34:AX$35,$U34)))</f>
        <v>51</v>
      </c>
      <c r="T34" s="76">
        <f>IF((AND(L34="---",N34="---")),"---",IF(ISERROR(HLOOKUP($A$34,Z34:AK$35,$U34)),"---",HLOOKUP($A$34,Z34:AK$35,$U34)))</f>
        <v>51</v>
      </c>
      <c r="U34" s="3">
        <v>2</v>
      </c>
      <c r="V34" s="43">
        <v>480</v>
      </c>
      <c r="W34" s="43">
        <v>48</v>
      </c>
      <c r="X34" s="43">
        <f t="shared" si="13"/>
        <v>554.4</v>
      </c>
      <c r="Z34" s="44"/>
      <c r="AA34" s="44">
        <f t="shared" si="19"/>
        <v>1.0416666666666665</v>
      </c>
      <c r="AB34" s="44">
        <f t="shared" si="19"/>
        <v>2.083333333333333</v>
      </c>
      <c r="AC34" s="44">
        <f t="shared" si="19"/>
        <v>3.125</v>
      </c>
      <c r="AD34" s="44">
        <f t="shared" si="19"/>
        <v>5.208333333333333</v>
      </c>
      <c r="AE34" s="44">
        <f t="shared" si="19"/>
        <v>10.416666666666666</v>
      </c>
      <c r="AF34" s="44">
        <f t="shared" si="19"/>
        <v>15.625</v>
      </c>
      <c r="AG34" s="44">
        <f t="shared" si="19"/>
        <v>20.833333333333332</v>
      </c>
      <c r="AH34" s="44">
        <f t="shared" si="19"/>
        <v>31.25</v>
      </c>
      <c r="AI34" s="44">
        <f t="shared" si="19"/>
        <v>41.666666666666664</v>
      </c>
      <c r="AJ34" s="44">
        <f t="shared" si="19"/>
        <v>62.5</v>
      </c>
      <c r="AK34" s="44">
        <f t="shared" si="19"/>
        <v>104.16666666666666</v>
      </c>
      <c r="AN34" s="45">
        <f t="shared" si="20"/>
        <v>1.1458333333333333</v>
      </c>
      <c r="AO34" s="45">
        <f t="shared" si="20"/>
        <v>2.2916666666666665</v>
      </c>
      <c r="AP34" s="45">
        <f t="shared" si="20"/>
        <v>3.4375</v>
      </c>
      <c r="AQ34" s="45">
        <f t="shared" si="20"/>
        <v>5.729166666666666</v>
      </c>
      <c r="AR34" s="45">
        <f t="shared" si="20"/>
        <v>11.458333333333332</v>
      </c>
      <c r="AS34" s="45">
        <f t="shared" si="20"/>
        <v>17.1875</v>
      </c>
      <c r="AT34" s="45">
        <f t="shared" si="20"/>
        <v>22.916666666666664</v>
      </c>
      <c r="AU34" s="45">
        <f t="shared" si="20"/>
        <v>34.375</v>
      </c>
      <c r="AV34" s="45">
        <f t="shared" si="20"/>
        <v>45.83333333333333</v>
      </c>
      <c r="AW34" s="45">
        <f t="shared" si="20"/>
        <v>68.75</v>
      </c>
      <c r="AX34" s="45">
        <f t="shared" si="20"/>
        <v>114.58333333333333</v>
      </c>
    </row>
    <row r="35" spans="16:50" s="3" customFormat="1" ht="12.75" customHeight="1">
      <c r="P35" s="4"/>
      <c r="Q35" s="2"/>
      <c r="R35" s="2"/>
      <c r="S35" s="80" t="s">
        <v>14</v>
      </c>
      <c r="T35" s="4"/>
      <c r="Z35" s="72" t="s">
        <v>30</v>
      </c>
      <c r="AA35" s="72" t="s">
        <v>15</v>
      </c>
      <c r="AB35" s="73">
        <v>11</v>
      </c>
      <c r="AC35" s="73">
        <v>21</v>
      </c>
      <c r="AD35" s="73">
        <v>31</v>
      </c>
      <c r="AE35" s="73">
        <v>41</v>
      </c>
      <c r="AF35" s="73">
        <v>51</v>
      </c>
      <c r="AG35" s="73">
        <v>61</v>
      </c>
      <c r="AH35" s="73">
        <v>71</v>
      </c>
      <c r="AI35" s="73">
        <v>81</v>
      </c>
      <c r="AJ35" s="73">
        <v>91</v>
      </c>
      <c r="AK35" s="72" t="s">
        <v>14</v>
      </c>
      <c r="AM35" s="72" t="s">
        <v>30</v>
      </c>
      <c r="AN35" s="72" t="s">
        <v>15</v>
      </c>
      <c r="AO35" s="73">
        <v>11</v>
      </c>
      <c r="AP35" s="73">
        <v>21</v>
      </c>
      <c r="AQ35" s="73">
        <v>31</v>
      </c>
      <c r="AR35" s="73">
        <v>41</v>
      </c>
      <c r="AS35" s="73">
        <v>51</v>
      </c>
      <c r="AT35" s="73">
        <v>61</v>
      </c>
      <c r="AU35" s="73">
        <v>71</v>
      </c>
      <c r="AV35" s="73">
        <v>81</v>
      </c>
      <c r="AW35" s="73">
        <v>91</v>
      </c>
      <c r="AX35" s="72" t="s">
        <v>14</v>
      </c>
    </row>
    <row r="36" spans="2:20" ht="12.75" customHeight="1" hidden="1"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1"/>
      <c r="M36" s="81"/>
      <c r="N36" s="81"/>
      <c r="O36" s="81"/>
      <c r="P36" s="83"/>
      <c r="Q36" s="84"/>
      <c r="R36" s="6"/>
      <c r="S36" s="80" t="s">
        <v>14</v>
      </c>
      <c r="T36" s="43"/>
    </row>
    <row r="37" spans="11:20" ht="12.75" customHeight="1">
      <c r="K37" s="3"/>
      <c r="Q37" s="43"/>
      <c r="R37" s="3"/>
      <c r="S37" s="3"/>
      <c r="T37" s="43"/>
    </row>
    <row r="38" spans="2:50" ht="15.75">
      <c r="B38" s="9" t="s">
        <v>9</v>
      </c>
      <c r="K38" s="3"/>
      <c r="AA38" s="16">
        <v>0</v>
      </c>
      <c r="AB38" s="16">
        <v>1</v>
      </c>
      <c r="AC38" s="16">
        <v>11</v>
      </c>
      <c r="AD38" s="16">
        <v>21</v>
      </c>
      <c r="AE38" s="16">
        <v>31</v>
      </c>
      <c r="AF38" s="16">
        <v>41</v>
      </c>
      <c r="AG38" s="16">
        <v>51</v>
      </c>
      <c r="AH38" s="16">
        <v>61</v>
      </c>
      <c r="AI38" s="16">
        <v>71</v>
      </c>
      <c r="AJ38" s="16">
        <v>81</v>
      </c>
      <c r="AK38" s="16">
        <v>91</v>
      </c>
      <c r="AM38" s="72" t="s">
        <v>30</v>
      </c>
      <c r="AN38" s="16">
        <v>0</v>
      </c>
      <c r="AO38" s="16">
        <v>1</v>
      </c>
      <c r="AP38" s="16">
        <v>11</v>
      </c>
      <c r="AQ38" s="16">
        <v>21</v>
      </c>
      <c r="AR38" s="16">
        <v>31</v>
      </c>
      <c r="AS38" s="16">
        <v>41</v>
      </c>
      <c r="AT38" s="16">
        <v>51</v>
      </c>
      <c r="AU38" s="16">
        <v>61</v>
      </c>
      <c r="AV38" s="16">
        <v>71</v>
      </c>
      <c r="AW38" s="16">
        <v>81</v>
      </c>
      <c r="AX38" s="16">
        <v>91</v>
      </c>
    </row>
    <row r="39" spans="1:50" ht="15.75">
      <c r="A39" s="9"/>
      <c r="B39" s="43" t="s">
        <v>11</v>
      </c>
      <c r="K39" s="3"/>
      <c r="Z39" s="22">
        <v>1</v>
      </c>
      <c r="AA39" s="22">
        <v>50</v>
      </c>
      <c r="AB39" s="22">
        <v>100</v>
      </c>
      <c r="AC39" s="22">
        <v>150</v>
      </c>
      <c r="AD39" s="22">
        <v>250</v>
      </c>
      <c r="AE39" s="22">
        <v>500</v>
      </c>
      <c r="AF39" s="22">
        <v>750</v>
      </c>
      <c r="AG39" s="22">
        <v>1000</v>
      </c>
      <c r="AH39" s="22">
        <v>1500</v>
      </c>
      <c r="AI39" s="22">
        <v>2000</v>
      </c>
      <c r="AJ39" s="22">
        <v>3000</v>
      </c>
      <c r="AK39" s="22">
        <v>5000</v>
      </c>
      <c r="AM39" s="22">
        <v>1</v>
      </c>
      <c r="AN39" s="22">
        <v>50</v>
      </c>
      <c r="AO39" s="22">
        <v>100</v>
      </c>
      <c r="AP39" s="22">
        <v>150</v>
      </c>
      <c r="AQ39" s="22">
        <v>250</v>
      </c>
      <c r="AR39" s="22">
        <v>500</v>
      </c>
      <c r="AS39" s="22">
        <v>750</v>
      </c>
      <c r="AT39" s="22">
        <v>1000</v>
      </c>
      <c r="AU39" s="22">
        <v>1500</v>
      </c>
      <c r="AV39" s="22">
        <v>2000</v>
      </c>
      <c r="AW39" s="22">
        <v>3000</v>
      </c>
      <c r="AX39" s="22">
        <v>5000</v>
      </c>
    </row>
    <row r="40" spans="1:24" s="32" customFormat="1" ht="28.5" customHeight="1">
      <c r="A40" s="23" t="s">
        <v>1</v>
      </c>
      <c r="B40" s="24"/>
      <c r="C40" s="25" t="s">
        <v>2</v>
      </c>
      <c r="D40" s="25" t="s">
        <v>3</v>
      </c>
      <c r="E40" s="25"/>
      <c r="F40" s="26" t="s">
        <v>4</v>
      </c>
      <c r="G40" s="27"/>
      <c r="H40" s="28" t="s">
        <v>27</v>
      </c>
      <c r="I40" s="28" t="s">
        <v>31</v>
      </c>
      <c r="J40" s="28" t="s">
        <v>6</v>
      </c>
      <c r="K40" s="29"/>
      <c r="L40" s="26" t="s">
        <v>5</v>
      </c>
      <c r="M40" s="27"/>
      <c r="N40" s="28" t="s">
        <v>26</v>
      </c>
      <c r="O40" s="25"/>
      <c r="P40" s="28" t="s">
        <v>32</v>
      </c>
      <c r="Q40" s="30" t="s">
        <v>6</v>
      </c>
      <c r="R40" s="7"/>
      <c r="S40" s="32" t="s">
        <v>20</v>
      </c>
      <c r="T40" s="32" t="s">
        <v>19</v>
      </c>
      <c r="X40" s="32" t="s">
        <v>8</v>
      </c>
    </row>
    <row r="41" spans="1:50" ht="12.75">
      <c r="A41" s="33">
        <f>K3</f>
        <v>208</v>
      </c>
      <c r="B41" s="74"/>
      <c r="C41" s="35">
        <v>0.8317307692307693</v>
      </c>
      <c r="D41" s="35">
        <v>1.2023121387283238</v>
      </c>
      <c r="E41" s="35"/>
      <c r="F41" s="36">
        <f>IF($A$10&lt;$X41,$A$10*C41,"---")</f>
        <v>173</v>
      </c>
      <c r="G41" s="37" t="s">
        <v>18</v>
      </c>
      <c r="H41" s="38">
        <f aca="true" t="shared" si="21" ref="H41:H50">IF(F41="---","---",$K$3)</f>
        <v>208</v>
      </c>
      <c r="I41" s="75" t="str">
        <f>IF(S41="---","---",(IF(H41="---","---",CONCATENATE("416-11"&amp;S41&amp;"-000"))))</f>
        <v>416-1131-000</v>
      </c>
      <c r="J41" s="75">
        <f aca="true" t="shared" si="22" ref="J41:J50">IF(S41="---","---",R41)</f>
        <v>6</v>
      </c>
      <c r="K41" s="40" t="s">
        <v>17</v>
      </c>
      <c r="L41" s="36">
        <f>IF(($A$41*D41&lt;$X41),$A$41*D41,"---")</f>
        <v>250.08092485549133</v>
      </c>
      <c r="M41" s="37" t="s">
        <v>18</v>
      </c>
      <c r="N41" s="38">
        <f aca="true" t="shared" si="23" ref="N41:N50">IF(L41="---","---",$K$3)</f>
        <v>208</v>
      </c>
      <c r="O41" s="35"/>
      <c r="P41" s="39" t="str">
        <f>IF(T41="---","---",(IF(N41="---","---",CONCATENATE("416-11"&amp;T41&amp;"-000"))))</f>
        <v>416-1131-000</v>
      </c>
      <c r="Q41" s="39">
        <f aca="true" t="shared" si="24" ref="Q41:Q50">IF(T41="---","---",R41)</f>
        <v>6</v>
      </c>
      <c r="R41" s="2">
        <v>6</v>
      </c>
      <c r="S41" s="42">
        <f>IF((AND(F41="---",H41="---")),"---",IF(ISERROR(HLOOKUP($A$50,AM41:AX$51,$U41)),"---",(HLOOKUP($A$50,AM41:AX$51,$U41))))</f>
        <v>31</v>
      </c>
      <c r="T41" s="42">
        <f>IF((AND(L41="---",N41="---")),"---",IF(ISERROR(HLOOKUP($A$50,Z41:AK$51,$U41)),"---",HLOOKUP($A$50,Z41:AK$51,$U41)))</f>
        <v>31</v>
      </c>
      <c r="U41" s="43">
        <v>11</v>
      </c>
      <c r="V41" s="43">
        <v>120</v>
      </c>
      <c r="W41" s="43">
        <v>24</v>
      </c>
      <c r="X41" s="85">
        <f>(V41+W41)*1.05*1.73</f>
        <v>261.576</v>
      </c>
      <c r="Z41" s="44">
        <f>Z$39*(1/($W41))</f>
        <v>0.041666666666666664</v>
      </c>
      <c r="AA41" s="44">
        <f>AA$39*(1/($W41))</f>
        <v>2.083333333333333</v>
      </c>
      <c r="AB41" s="44">
        <f>AB$39*(1/($W41))</f>
        <v>4.166666666666666</v>
      </c>
      <c r="AC41" s="44">
        <f aca="true" t="shared" si="25" ref="AC41:AK50">AC$39*(1/($W41))</f>
        <v>6.25</v>
      </c>
      <c r="AD41" s="44">
        <f t="shared" si="25"/>
        <v>10.416666666666666</v>
      </c>
      <c r="AE41" s="44">
        <f t="shared" si="25"/>
        <v>20.833333333333332</v>
      </c>
      <c r="AF41" s="44">
        <f t="shared" si="25"/>
        <v>31.25</v>
      </c>
      <c r="AG41" s="44">
        <f t="shared" si="25"/>
        <v>41.666666666666664</v>
      </c>
      <c r="AH41" s="44">
        <f t="shared" si="25"/>
        <v>62.5</v>
      </c>
      <c r="AI41" s="44">
        <f t="shared" si="25"/>
        <v>83.33333333333333</v>
      </c>
      <c r="AJ41" s="44">
        <f t="shared" si="25"/>
        <v>125</v>
      </c>
      <c r="AK41" s="44">
        <f t="shared" si="25"/>
        <v>208.33333333333331</v>
      </c>
      <c r="AM41" s="45">
        <f>AM$39*(1/$W41)+(AM$39*(1/$V41))</f>
        <v>0.049999999999999996</v>
      </c>
      <c r="AN41" s="45">
        <f>AN$39*(1/$W41)+(AN$39*(1/$V41))</f>
        <v>2.4999999999999996</v>
      </c>
      <c r="AO41" s="45">
        <f>AO$39*(1/$W41)+(AO$39*(1/$V41))</f>
        <v>4.999999999999999</v>
      </c>
      <c r="AP41" s="45">
        <f aca="true" t="shared" si="26" ref="AP41:AX41">AP$39*(1/$W41)+(AP$39*(1/$V41))</f>
        <v>7.5</v>
      </c>
      <c r="AQ41" s="45">
        <f t="shared" si="26"/>
        <v>12.5</v>
      </c>
      <c r="AR41" s="45">
        <f t="shared" si="26"/>
        <v>25</v>
      </c>
      <c r="AS41" s="45">
        <f t="shared" si="26"/>
        <v>37.5</v>
      </c>
      <c r="AT41" s="45">
        <f t="shared" si="26"/>
        <v>50</v>
      </c>
      <c r="AU41" s="45">
        <f t="shared" si="26"/>
        <v>75</v>
      </c>
      <c r="AV41" s="45">
        <f t="shared" si="26"/>
        <v>100</v>
      </c>
      <c r="AW41" s="45">
        <f t="shared" si="26"/>
        <v>150</v>
      </c>
      <c r="AX41" s="45">
        <f t="shared" si="26"/>
        <v>249.99999999999997</v>
      </c>
    </row>
    <row r="42" spans="1:50" ht="12.75">
      <c r="A42" s="86"/>
      <c r="B42" s="74"/>
      <c r="C42" s="35">
        <v>0.9086538461538461</v>
      </c>
      <c r="D42" s="35">
        <v>1.1005291005291005</v>
      </c>
      <c r="E42" s="35"/>
      <c r="F42" s="36">
        <f>IF($A$10&lt;$X42,$A$10*C42,"---")</f>
        <v>189</v>
      </c>
      <c r="G42" s="37" t="s">
        <v>18</v>
      </c>
      <c r="H42" s="38">
        <f t="shared" si="21"/>
        <v>208</v>
      </c>
      <c r="I42" s="75" t="str">
        <f>IF(S42="---","---",(IF(H42="---","---",CONCATENATE("416-11"&amp;S42&amp;"-000"))))</f>
        <v>416-1121-000</v>
      </c>
      <c r="J42" s="75">
        <f t="shared" si="22"/>
        <v>5</v>
      </c>
      <c r="K42" s="40" t="s">
        <v>17</v>
      </c>
      <c r="L42" s="36">
        <f aca="true" t="shared" si="27" ref="L42:L50">IF(($A$41*D42&lt;$X42),$A$41*D42,"---")</f>
        <v>228.9100529100529</v>
      </c>
      <c r="M42" s="37" t="s">
        <v>18</v>
      </c>
      <c r="N42" s="38">
        <f t="shared" si="23"/>
        <v>208</v>
      </c>
      <c r="O42" s="35"/>
      <c r="P42" s="39" t="str">
        <f>IF(T42="---","---",(IF(N42="---","---",CONCATENATE("416-11"&amp;T42&amp;"-000"))))</f>
        <v>416-1121-000</v>
      </c>
      <c r="Q42" s="39">
        <f t="shared" si="24"/>
        <v>5</v>
      </c>
      <c r="R42" s="2">
        <v>5</v>
      </c>
      <c r="S42" s="42">
        <f>IF((AND(F42="---",H42="---")),"---",IF(ISERROR(HLOOKUP($A$50,AM42:AX$51,$U42)),"---",(HLOOKUP($A$50,AM42:AX$51,$U42))))</f>
        <v>21</v>
      </c>
      <c r="T42" s="42">
        <f>IF((AND(L42="---",N42="---")),"---",IF(ISERROR(HLOOKUP($A$50,Z42:AK$51,$U42)),"---",HLOOKUP($A$50,Z42:AK$51,$U42)))</f>
        <v>21</v>
      </c>
      <c r="U42" s="43">
        <v>10</v>
      </c>
      <c r="V42" s="43">
        <v>120</v>
      </c>
      <c r="W42" s="43">
        <v>12</v>
      </c>
      <c r="X42" s="85">
        <f aca="true" t="shared" si="28" ref="X42:X50">(V42+W42)*1.05*1.73</f>
        <v>239.778</v>
      </c>
      <c r="Z42" s="44">
        <f>Z$39*(1/($W42))</f>
        <v>0.08333333333333333</v>
      </c>
      <c r="AA42" s="44">
        <f aca="true" t="shared" si="29" ref="AA42:AB50">AA$39*(1/($W42))</f>
        <v>4.166666666666666</v>
      </c>
      <c r="AB42" s="44">
        <f t="shared" si="29"/>
        <v>8.333333333333332</v>
      </c>
      <c r="AC42" s="44">
        <f t="shared" si="25"/>
        <v>12.5</v>
      </c>
      <c r="AD42" s="44">
        <f t="shared" si="25"/>
        <v>20.833333333333332</v>
      </c>
      <c r="AE42" s="44">
        <f t="shared" si="25"/>
        <v>41.666666666666664</v>
      </c>
      <c r="AF42" s="44">
        <f t="shared" si="25"/>
        <v>62.5</v>
      </c>
      <c r="AG42" s="44">
        <f t="shared" si="25"/>
        <v>83.33333333333333</v>
      </c>
      <c r="AH42" s="44">
        <f t="shared" si="25"/>
        <v>125</v>
      </c>
      <c r="AI42" s="44">
        <f t="shared" si="25"/>
        <v>166.66666666666666</v>
      </c>
      <c r="AJ42" s="44">
        <f t="shared" si="25"/>
        <v>250</v>
      </c>
      <c r="AK42" s="44">
        <f t="shared" si="25"/>
        <v>416.66666666666663</v>
      </c>
      <c r="AM42" s="45">
        <f aca="true" t="shared" si="30" ref="AM42:AX50">AM$39*(1/$W42)+(AM$39*(1/$V42))</f>
        <v>0.09166666666666666</v>
      </c>
      <c r="AN42" s="45">
        <f t="shared" si="30"/>
        <v>4.583333333333333</v>
      </c>
      <c r="AO42" s="45">
        <f t="shared" si="30"/>
        <v>9.166666666666666</v>
      </c>
      <c r="AP42" s="45">
        <f t="shared" si="30"/>
        <v>13.75</v>
      </c>
      <c r="AQ42" s="45">
        <f t="shared" si="30"/>
        <v>22.916666666666664</v>
      </c>
      <c r="AR42" s="45">
        <f t="shared" si="30"/>
        <v>45.83333333333333</v>
      </c>
      <c r="AS42" s="45">
        <f t="shared" si="30"/>
        <v>68.75</v>
      </c>
      <c r="AT42" s="45">
        <f t="shared" si="30"/>
        <v>91.66666666666666</v>
      </c>
      <c r="AU42" s="45">
        <f t="shared" si="30"/>
        <v>137.5</v>
      </c>
      <c r="AV42" s="45">
        <f t="shared" si="30"/>
        <v>183.33333333333331</v>
      </c>
      <c r="AW42" s="45">
        <f t="shared" si="30"/>
        <v>275</v>
      </c>
      <c r="AX42" s="45">
        <f t="shared" si="30"/>
        <v>458.3333333333333</v>
      </c>
    </row>
    <row r="43" spans="1:50" ht="12.75">
      <c r="A43" s="86"/>
      <c r="B43" s="74"/>
      <c r="C43" s="35">
        <v>0.9086538461538461</v>
      </c>
      <c r="D43" s="35">
        <v>1.1005291005291005</v>
      </c>
      <c r="E43" s="35"/>
      <c r="F43" s="36">
        <f>IF($A$10&lt;$X43,$A$10*C43,"---")</f>
        <v>189</v>
      </c>
      <c r="G43" s="37" t="s">
        <v>18</v>
      </c>
      <c r="H43" s="38">
        <f t="shared" si="21"/>
        <v>208</v>
      </c>
      <c r="I43" s="75" t="str">
        <f>IF(S43="---","---",(IF(H43="---","---",CONCATENATE("416-11"&amp;S43&amp;"-000"))))</f>
        <v>416-1131-000</v>
      </c>
      <c r="J43" s="75">
        <f t="shared" si="22"/>
        <v>8</v>
      </c>
      <c r="K43" s="40" t="s">
        <v>17</v>
      </c>
      <c r="L43" s="36">
        <f t="shared" si="27"/>
        <v>228.9100529100529</v>
      </c>
      <c r="M43" s="37" t="s">
        <v>18</v>
      </c>
      <c r="N43" s="38">
        <f t="shared" si="23"/>
        <v>208</v>
      </c>
      <c r="O43" s="35"/>
      <c r="P43" s="39" t="str">
        <f>IF(T43="---","---",(IF(N43="---","---",CONCATENATE("416-11"&amp;T43&amp;"-000"))))</f>
        <v>416-1131-000</v>
      </c>
      <c r="Q43" s="39">
        <f t="shared" si="24"/>
        <v>8</v>
      </c>
      <c r="R43" s="2">
        <v>8</v>
      </c>
      <c r="S43" s="42">
        <f>IF((AND(F43="---",H43="---")),"---",IF(ISERROR(HLOOKUP($A$50,AM43:AX$51,$U43)),"---",(HLOOKUP($A$50,AM43:AX$51,$U43))))</f>
        <v>31</v>
      </c>
      <c r="T43" s="42">
        <f>IF((AND(L43="---",N43="---")),"---",IF(ISERROR(HLOOKUP($A$50,Z43:AK$51,$U43)),"---",HLOOKUP($A$50,Z43:AK$51,$U43)))</f>
        <v>31</v>
      </c>
      <c r="U43" s="43">
        <v>9</v>
      </c>
      <c r="V43" s="43">
        <v>240</v>
      </c>
      <c r="W43" s="43">
        <v>24</v>
      </c>
      <c r="X43" s="85">
        <f t="shared" si="28"/>
        <v>479.556</v>
      </c>
      <c r="Z43" s="44">
        <f>Z$39*(1/($W43))</f>
        <v>0.041666666666666664</v>
      </c>
      <c r="AA43" s="44">
        <f t="shared" si="29"/>
        <v>2.083333333333333</v>
      </c>
      <c r="AB43" s="44">
        <f t="shared" si="29"/>
        <v>4.166666666666666</v>
      </c>
      <c r="AC43" s="44">
        <f t="shared" si="25"/>
        <v>6.25</v>
      </c>
      <c r="AD43" s="44">
        <f t="shared" si="25"/>
        <v>10.416666666666666</v>
      </c>
      <c r="AE43" s="44">
        <f t="shared" si="25"/>
        <v>20.833333333333332</v>
      </c>
      <c r="AF43" s="44">
        <f t="shared" si="25"/>
        <v>31.25</v>
      </c>
      <c r="AG43" s="44">
        <f t="shared" si="25"/>
        <v>41.666666666666664</v>
      </c>
      <c r="AH43" s="44">
        <f t="shared" si="25"/>
        <v>62.5</v>
      </c>
      <c r="AI43" s="44">
        <f t="shared" si="25"/>
        <v>83.33333333333333</v>
      </c>
      <c r="AJ43" s="44">
        <f t="shared" si="25"/>
        <v>125</v>
      </c>
      <c r="AK43" s="44">
        <f t="shared" si="25"/>
        <v>208.33333333333331</v>
      </c>
      <c r="AM43" s="45">
        <f t="shared" si="30"/>
        <v>0.04583333333333333</v>
      </c>
      <c r="AN43" s="45">
        <f t="shared" si="30"/>
        <v>2.2916666666666665</v>
      </c>
      <c r="AO43" s="45">
        <f t="shared" si="30"/>
        <v>4.583333333333333</v>
      </c>
      <c r="AP43" s="45">
        <f t="shared" si="30"/>
        <v>6.875</v>
      </c>
      <c r="AQ43" s="45">
        <f t="shared" si="30"/>
        <v>11.458333333333332</v>
      </c>
      <c r="AR43" s="45">
        <f t="shared" si="30"/>
        <v>22.916666666666664</v>
      </c>
      <c r="AS43" s="45">
        <f t="shared" si="30"/>
        <v>34.375</v>
      </c>
      <c r="AT43" s="45">
        <f t="shared" si="30"/>
        <v>45.83333333333333</v>
      </c>
      <c r="AU43" s="45">
        <f t="shared" si="30"/>
        <v>68.75</v>
      </c>
      <c r="AV43" s="45">
        <f t="shared" si="30"/>
        <v>91.66666666666666</v>
      </c>
      <c r="AW43" s="45">
        <f t="shared" si="30"/>
        <v>137.5</v>
      </c>
      <c r="AX43" s="45">
        <f t="shared" si="30"/>
        <v>229.16666666666666</v>
      </c>
    </row>
    <row r="44" spans="1:50" ht="12.75">
      <c r="A44" s="86"/>
      <c r="B44" s="74"/>
      <c r="C44" s="35">
        <v>0.9519450800915332</v>
      </c>
      <c r="D44" s="35">
        <v>1.0504807692307692</v>
      </c>
      <c r="E44" s="35"/>
      <c r="F44" s="36">
        <f>IF($A$10&lt;$X44,$A$10*C44,"---")</f>
        <v>198.00457665903892</v>
      </c>
      <c r="G44" s="37" t="s">
        <v>18</v>
      </c>
      <c r="H44" s="38">
        <f t="shared" si="21"/>
        <v>208</v>
      </c>
      <c r="I44" s="75" t="str">
        <f>IF(S44="---","---",(IF(H44="---","---",CONCATENATE("416-11"&amp;S44&amp;"-000"))))</f>
        <v>416-1121-000</v>
      </c>
      <c r="J44" s="75">
        <f t="shared" si="22"/>
        <v>7</v>
      </c>
      <c r="K44" s="40" t="s">
        <v>17</v>
      </c>
      <c r="L44" s="36">
        <f t="shared" si="27"/>
        <v>218.5</v>
      </c>
      <c r="M44" s="37" t="s">
        <v>18</v>
      </c>
      <c r="N44" s="38">
        <f t="shared" si="23"/>
        <v>208</v>
      </c>
      <c r="O44" s="35"/>
      <c r="P44" s="39" t="str">
        <f>IF(T44="---","---",(IF(N44="---","---",CONCATENATE("416-11"&amp;T44&amp;"-000"))))</f>
        <v>416-1121-000</v>
      </c>
      <c r="Q44" s="39">
        <f t="shared" si="24"/>
        <v>7</v>
      </c>
      <c r="R44" s="2">
        <v>7</v>
      </c>
      <c r="S44" s="42">
        <f>IF((AND(F44="---",H44="---")),"---",IF(ISERROR(HLOOKUP($A$50,AM44:AX$51,$U44)),"---",(HLOOKUP($A$50,AM44:AX$51,$U44))))</f>
        <v>21</v>
      </c>
      <c r="T44" s="42">
        <f>IF((AND(L44="---",N44="---")),"---",IF(ISERROR(HLOOKUP($A$50,Z44:AK$51,$U44)),"---",HLOOKUP($A$50,Z44:AK$51,$U44)))</f>
        <v>21</v>
      </c>
      <c r="U44" s="3">
        <v>8</v>
      </c>
      <c r="V44" s="43">
        <v>240</v>
      </c>
      <c r="W44" s="43">
        <v>12</v>
      </c>
      <c r="X44" s="85">
        <f t="shared" si="28"/>
        <v>457.75800000000004</v>
      </c>
      <c r="Z44" s="44">
        <f>Z$39*(1/($W44))</f>
        <v>0.08333333333333333</v>
      </c>
      <c r="AA44" s="44">
        <f t="shared" si="29"/>
        <v>4.166666666666666</v>
      </c>
      <c r="AB44" s="44">
        <f t="shared" si="29"/>
        <v>8.333333333333332</v>
      </c>
      <c r="AC44" s="44">
        <f t="shared" si="25"/>
        <v>12.5</v>
      </c>
      <c r="AD44" s="44">
        <f t="shared" si="25"/>
        <v>20.833333333333332</v>
      </c>
      <c r="AE44" s="44">
        <f t="shared" si="25"/>
        <v>41.666666666666664</v>
      </c>
      <c r="AF44" s="44">
        <f t="shared" si="25"/>
        <v>62.5</v>
      </c>
      <c r="AG44" s="44">
        <f t="shared" si="25"/>
        <v>83.33333333333333</v>
      </c>
      <c r="AH44" s="44">
        <f t="shared" si="25"/>
        <v>125</v>
      </c>
      <c r="AI44" s="44">
        <f t="shared" si="25"/>
        <v>166.66666666666666</v>
      </c>
      <c r="AJ44" s="44">
        <f t="shared" si="25"/>
        <v>250</v>
      </c>
      <c r="AK44" s="44">
        <f t="shared" si="25"/>
        <v>416.66666666666663</v>
      </c>
      <c r="AM44" s="45">
        <f t="shared" si="30"/>
        <v>0.0875</v>
      </c>
      <c r="AN44" s="45">
        <f t="shared" si="30"/>
        <v>4.374999999999999</v>
      </c>
      <c r="AO44" s="45">
        <f t="shared" si="30"/>
        <v>8.749999999999998</v>
      </c>
      <c r="AP44" s="45">
        <f t="shared" si="30"/>
        <v>13.125</v>
      </c>
      <c r="AQ44" s="45">
        <f t="shared" si="30"/>
        <v>21.875</v>
      </c>
      <c r="AR44" s="45">
        <f t="shared" si="30"/>
        <v>43.75</v>
      </c>
      <c r="AS44" s="45">
        <f t="shared" si="30"/>
        <v>65.625</v>
      </c>
      <c r="AT44" s="45">
        <f t="shared" si="30"/>
        <v>87.5</v>
      </c>
      <c r="AU44" s="45">
        <f t="shared" si="30"/>
        <v>131.25</v>
      </c>
      <c r="AV44" s="45">
        <f t="shared" si="30"/>
        <v>175</v>
      </c>
      <c r="AW44" s="45">
        <f t="shared" si="30"/>
        <v>262.5</v>
      </c>
      <c r="AX44" s="45">
        <f t="shared" si="30"/>
        <v>437.49999999999994</v>
      </c>
    </row>
    <row r="45" spans="1:50" ht="12.75">
      <c r="A45" s="86"/>
      <c r="B45" s="74"/>
      <c r="C45" s="48">
        <v>0.7884615384615384</v>
      </c>
      <c r="D45" s="48">
        <v>1.2682926829268293</v>
      </c>
      <c r="E45" s="48"/>
      <c r="F45" s="49">
        <f aca="true" t="shared" si="31" ref="F45:F50">IF($A$10&lt;$X45,$A$10*C45,"---")</f>
        <v>164</v>
      </c>
      <c r="G45" s="50" t="s">
        <v>18</v>
      </c>
      <c r="H45" s="51">
        <f t="shared" si="21"/>
        <v>208</v>
      </c>
      <c r="I45" s="52" t="str">
        <f>IF(S45="---","---",(IF(H45="---","---",CONCATENATE("416-12"&amp;S45&amp;"-000"))))</f>
        <v>416-1241-000</v>
      </c>
      <c r="J45" s="52">
        <f t="shared" si="22"/>
        <v>6</v>
      </c>
      <c r="K45" s="40" t="s">
        <v>17</v>
      </c>
      <c r="L45" s="49">
        <f t="shared" si="27"/>
        <v>263.8048780487805</v>
      </c>
      <c r="M45" s="50" t="s">
        <v>18</v>
      </c>
      <c r="N45" s="51">
        <f t="shared" si="23"/>
        <v>208</v>
      </c>
      <c r="O45" s="48"/>
      <c r="P45" s="53" t="str">
        <f>IF(T45="---","---",(IF(N45="---","---",CONCATENATE("416-12"&amp;T45&amp;"-000"))))</f>
        <v>416-1241-000</v>
      </c>
      <c r="Q45" s="53">
        <f t="shared" si="24"/>
        <v>6</v>
      </c>
      <c r="R45" s="2">
        <v>6</v>
      </c>
      <c r="S45" s="42">
        <f>IF((AND(F45="---",H45="---")),"---",IF(ISERROR(HLOOKUP($A$50,AM45:AX$51,$U45)),"---",(HLOOKUP($A$50,AM45:AX$51,$U45))))</f>
        <v>41</v>
      </c>
      <c r="T45" s="42">
        <f>IF((AND(L45="---",N45="---")),"---",IF(ISERROR(HLOOKUP($A$50,Z45:AK$51,$U45)),"---",HLOOKUP($A$50,Z45:AK$51,$U45)))</f>
        <v>41</v>
      </c>
      <c r="U45" s="3">
        <v>7</v>
      </c>
      <c r="V45" s="43">
        <v>120</v>
      </c>
      <c r="W45" s="43">
        <v>32</v>
      </c>
      <c r="X45" s="85">
        <f t="shared" si="28"/>
        <v>276.108</v>
      </c>
      <c r="Z45" s="44"/>
      <c r="AA45" s="44">
        <f t="shared" si="29"/>
        <v>1.5625</v>
      </c>
      <c r="AB45" s="44">
        <f t="shared" si="29"/>
        <v>3.125</v>
      </c>
      <c r="AC45" s="44">
        <f t="shared" si="25"/>
        <v>4.6875</v>
      </c>
      <c r="AD45" s="44">
        <f t="shared" si="25"/>
        <v>7.8125</v>
      </c>
      <c r="AE45" s="44">
        <f t="shared" si="25"/>
        <v>15.625</v>
      </c>
      <c r="AF45" s="44">
        <f t="shared" si="25"/>
        <v>23.4375</v>
      </c>
      <c r="AG45" s="44">
        <f t="shared" si="25"/>
        <v>31.25</v>
      </c>
      <c r="AH45" s="44">
        <f t="shared" si="25"/>
        <v>46.875</v>
      </c>
      <c r="AI45" s="44">
        <f t="shared" si="25"/>
        <v>62.5</v>
      </c>
      <c r="AJ45" s="44">
        <f t="shared" si="25"/>
        <v>93.75</v>
      </c>
      <c r="AK45" s="44">
        <f t="shared" si="25"/>
        <v>156.25</v>
      </c>
      <c r="AN45" s="45">
        <f t="shared" si="30"/>
        <v>1.9791666666666667</v>
      </c>
      <c r="AO45" s="45">
        <f t="shared" si="30"/>
        <v>3.9583333333333335</v>
      </c>
      <c r="AP45" s="45">
        <f t="shared" si="30"/>
        <v>5.9375</v>
      </c>
      <c r="AQ45" s="45">
        <f t="shared" si="30"/>
        <v>9.895833333333334</v>
      </c>
      <c r="AR45" s="45">
        <f t="shared" si="30"/>
        <v>19.791666666666668</v>
      </c>
      <c r="AS45" s="45">
        <f t="shared" si="30"/>
        <v>29.6875</v>
      </c>
      <c r="AT45" s="45">
        <f t="shared" si="30"/>
        <v>39.583333333333336</v>
      </c>
      <c r="AU45" s="45">
        <f t="shared" si="30"/>
        <v>59.375</v>
      </c>
      <c r="AV45" s="45">
        <f t="shared" si="30"/>
        <v>79.16666666666667</v>
      </c>
      <c r="AW45" s="45">
        <f t="shared" si="30"/>
        <v>118.75</v>
      </c>
      <c r="AX45" s="45">
        <f t="shared" si="30"/>
        <v>197.91666666666666</v>
      </c>
    </row>
    <row r="46" spans="1:50" ht="12.75">
      <c r="A46" s="86"/>
      <c r="B46" s="74"/>
      <c r="C46" s="48">
        <v>0.8798076923076923</v>
      </c>
      <c r="D46" s="48">
        <v>1.1366120218579234</v>
      </c>
      <c r="E46" s="48"/>
      <c r="F46" s="49">
        <f t="shared" si="31"/>
        <v>183</v>
      </c>
      <c r="G46" s="50" t="s">
        <v>18</v>
      </c>
      <c r="H46" s="51">
        <f t="shared" si="21"/>
        <v>208</v>
      </c>
      <c r="I46" s="52" t="str">
        <f>IF(S46="---","---",(IF(H46="---","---",CONCATENATE("416-12"&amp;S46&amp;"-000"))))</f>
        <v>416-1231-000</v>
      </c>
      <c r="J46" s="52">
        <f t="shared" si="22"/>
        <v>5</v>
      </c>
      <c r="K46" s="40" t="s">
        <v>17</v>
      </c>
      <c r="L46" s="49">
        <f t="shared" si="27"/>
        <v>236.41530054644807</v>
      </c>
      <c r="M46" s="50" t="s">
        <v>18</v>
      </c>
      <c r="N46" s="51">
        <f t="shared" si="23"/>
        <v>208</v>
      </c>
      <c r="O46" s="48"/>
      <c r="P46" s="53" t="str">
        <f>IF(T46="---","---",(IF(N46="---","---",CONCATENATE("416-12"&amp;T46&amp;"-000"))))</f>
        <v>416-1231-000</v>
      </c>
      <c r="Q46" s="53">
        <f t="shared" si="24"/>
        <v>5</v>
      </c>
      <c r="R46" s="2">
        <v>5</v>
      </c>
      <c r="S46" s="42">
        <f>IF((AND(F46="---",H46="---")),"---",IF(ISERROR(HLOOKUP($A$50,AM46:AX$51,$U46)),"---",(HLOOKUP($A$50,AM46:AX$51,$U46))))</f>
        <v>31</v>
      </c>
      <c r="T46" s="42">
        <f>IF((AND(L46="---",N46="---")),"---",IF(ISERROR(HLOOKUP($A$50,Z46:AK$51,$U46)),"---",HLOOKUP($A$50,Z46:AK$51,$U46)))</f>
        <v>31</v>
      </c>
      <c r="U46" s="3">
        <v>6</v>
      </c>
      <c r="V46" s="43">
        <v>120</v>
      </c>
      <c r="W46" s="43">
        <v>16</v>
      </c>
      <c r="X46" s="85">
        <f t="shared" si="28"/>
        <v>247.044</v>
      </c>
      <c r="Z46" s="44"/>
      <c r="AA46" s="44">
        <f t="shared" si="29"/>
        <v>3.125</v>
      </c>
      <c r="AB46" s="44">
        <f t="shared" si="29"/>
        <v>6.25</v>
      </c>
      <c r="AC46" s="44">
        <f t="shared" si="25"/>
        <v>9.375</v>
      </c>
      <c r="AD46" s="44">
        <f t="shared" si="25"/>
        <v>15.625</v>
      </c>
      <c r="AE46" s="44">
        <f t="shared" si="25"/>
        <v>31.25</v>
      </c>
      <c r="AF46" s="44">
        <f t="shared" si="25"/>
        <v>46.875</v>
      </c>
      <c r="AG46" s="44">
        <f t="shared" si="25"/>
        <v>62.5</v>
      </c>
      <c r="AH46" s="44">
        <f t="shared" si="25"/>
        <v>93.75</v>
      </c>
      <c r="AI46" s="44">
        <f t="shared" si="25"/>
        <v>125</v>
      </c>
      <c r="AJ46" s="44">
        <f t="shared" si="25"/>
        <v>187.5</v>
      </c>
      <c r="AK46" s="44">
        <f t="shared" si="25"/>
        <v>312.5</v>
      </c>
      <c r="AN46" s="45">
        <f t="shared" si="30"/>
        <v>3.5416666666666665</v>
      </c>
      <c r="AO46" s="45">
        <f t="shared" si="30"/>
        <v>7.083333333333333</v>
      </c>
      <c r="AP46" s="45">
        <f t="shared" si="30"/>
        <v>10.625</v>
      </c>
      <c r="AQ46" s="45">
        <f t="shared" si="30"/>
        <v>17.708333333333332</v>
      </c>
      <c r="AR46" s="45">
        <f t="shared" si="30"/>
        <v>35.416666666666664</v>
      </c>
      <c r="AS46" s="45">
        <f t="shared" si="30"/>
        <v>53.125</v>
      </c>
      <c r="AT46" s="45">
        <f t="shared" si="30"/>
        <v>70.83333333333333</v>
      </c>
      <c r="AU46" s="45">
        <f t="shared" si="30"/>
        <v>106.25</v>
      </c>
      <c r="AV46" s="45">
        <f t="shared" si="30"/>
        <v>141.66666666666666</v>
      </c>
      <c r="AW46" s="45">
        <f t="shared" si="30"/>
        <v>212.5</v>
      </c>
      <c r="AX46" s="45">
        <f t="shared" si="30"/>
        <v>354.1666666666667</v>
      </c>
    </row>
    <row r="47" spans="1:50" ht="12.75">
      <c r="A47" s="86"/>
      <c r="B47" s="74"/>
      <c r="C47" s="48">
        <v>0.8822115384615384</v>
      </c>
      <c r="D47" s="48">
        <v>1.1335149863760219</v>
      </c>
      <c r="E47" s="48"/>
      <c r="F47" s="49">
        <f t="shared" si="31"/>
        <v>183.5</v>
      </c>
      <c r="G47" s="50" t="s">
        <v>18</v>
      </c>
      <c r="H47" s="51">
        <f t="shared" si="21"/>
        <v>208</v>
      </c>
      <c r="I47" s="52" t="str">
        <f>IF(S47="---","---",(IF(H47="---","---",CONCATENATE("416-12"&amp;S47&amp;"-000"))))</f>
        <v>416-1241-000</v>
      </c>
      <c r="J47" s="52">
        <f t="shared" si="22"/>
        <v>8</v>
      </c>
      <c r="K47" s="40" t="s">
        <v>17</v>
      </c>
      <c r="L47" s="49">
        <f t="shared" si="27"/>
        <v>235.77111716621255</v>
      </c>
      <c r="M47" s="50" t="s">
        <v>18</v>
      </c>
      <c r="N47" s="51">
        <f t="shared" si="23"/>
        <v>208</v>
      </c>
      <c r="O47" s="48"/>
      <c r="P47" s="53" t="str">
        <f>IF(T47="---","---",(IF(N47="---","---",CONCATENATE("416-12"&amp;T47&amp;"-000"))))</f>
        <v>416-1241-000</v>
      </c>
      <c r="Q47" s="53">
        <f t="shared" si="24"/>
        <v>8</v>
      </c>
      <c r="R47" s="2">
        <v>8</v>
      </c>
      <c r="S47" s="42">
        <f>IF((AND(F47="---",H47="---")),"---",IF(ISERROR(HLOOKUP($A$50,AM47:AX$51,$U47)),"---",(HLOOKUP($A$50,AM47:AX$51,$U47))))</f>
        <v>41</v>
      </c>
      <c r="T47" s="42">
        <f>IF((AND(L47="---",N47="---")),"---",IF(ISERROR(HLOOKUP($A$50,Z47:AK$51,$U47)),"---",HLOOKUP($A$50,Z47:AK$51,$U47)))</f>
        <v>41</v>
      </c>
      <c r="U47" s="3">
        <v>5</v>
      </c>
      <c r="V47" s="43">
        <v>240</v>
      </c>
      <c r="W47" s="43">
        <v>32</v>
      </c>
      <c r="X47" s="85">
        <f t="shared" si="28"/>
        <v>494.088</v>
      </c>
      <c r="Z47" s="44"/>
      <c r="AA47" s="44">
        <f t="shared" si="29"/>
        <v>1.5625</v>
      </c>
      <c r="AB47" s="44">
        <f t="shared" si="29"/>
        <v>3.125</v>
      </c>
      <c r="AC47" s="44">
        <f t="shared" si="25"/>
        <v>4.6875</v>
      </c>
      <c r="AD47" s="44">
        <f t="shared" si="25"/>
        <v>7.8125</v>
      </c>
      <c r="AE47" s="44">
        <f t="shared" si="25"/>
        <v>15.625</v>
      </c>
      <c r="AF47" s="44">
        <f t="shared" si="25"/>
        <v>23.4375</v>
      </c>
      <c r="AG47" s="44">
        <f t="shared" si="25"/>
        <v>31.25</v>
      </c>
      <c r="AH47" s="44">
        <f t="shared" si="25"/>
        <v>46.875</v>
      </c>
      <c r="AI47" s="44">
        <f t="shared" si="25"/>
        <v>62.5</v>
      </c>
      <c r="AJ47" s="44">
        <f t="shared" si="25"/>
        <v>93.75</v>
      </c>
      <c r="AK47" s="44">
        <f t="shared" si="25"/>
        <v>156.25</v>
      </c>
      <c r="AN47" s="45">
        <f t="shared" si="30"/>
        <v>1.7708333333333333</v>
      </c>
      <c r="AO47" s="45">
        <f t="shared" si="30"/>
        <v>3.5416666666666665</v>
      </c>
      <c r="AP47" s="45">
        <f t="shared" si="30"/>
        <v>5.3125</v>
      </c>
      <c r="AQ47" s="45">
        <f t="shared" si="30"/>
        <v>8.854166666666666</v>
      </c>
      <c r="AR47" s="45">
        <f t="shared" si="30"/>
        <v>17.708333333333332</v>
      </c>
      <c r="AS47" s="45">
        <f t="shared" si="30"/>
        <v>26.5625</v>
      </c>
      <c r="AT47" s="45">
        <f t="shared" si="30"/>
        <v>35.416666666666664</v>
      </c>
      <c r="AU47" s="45">
        <f t="shared" si="30"/>
        <v>53.125</v>
      </c>
      <c r="AV47" s="45">
        <f t="shared" si="30"/>
        <v>70.83333333333333</v>
      </c>
      <c r="AW47" s="45">
        <f t="shared" si="30"/>
        <v>106.25</v>
      </c>
      <c r="AX47" s="45">
        <f t="shared" si="30"/>
        <v>177.08333333333334</v>
      </c>
    </row>
    <row r="48" spans="1:50" ht="12.75">
      <c r="A48" s="86"/>
      <c r="B48" s="74"/>
      <c r="C48" s="48">
        <v>0.9375</v>
      </c>
      <c r="D48" s="48">
        <v>1.0666666666666667</v>
      </c>
      <c r="E48" s="48"/>
      <c r="F48" s="49">
        <f t="shared" si="31"/>
        <v>195</v>
      </c>
      <c r="G48" s="50" t="s">
        <v>18</v>
      </c>
      <c r="H48" s="51">
        <f t="shared" si="21"/>
        <v>208</v>
      </c>
      <c r="I48" s="52" t="str">
        <f>IF(S48="---","---",(IF(H48="---","---",CONCATENATE("416-12"&amp;S48&amp;"-000"))))</f>
        <v>416-1231-000</v>
      </c>
      <c r="J48" s="52">
        <f t="shared" si="22"/>
        <v>7</v>
      </c>
      <c r="K48" s="40" t="s">
        <v>17</v>
      </c>
      <c r="L48" s="49">
        <f t="shared" si="27"/>
        <v>221.86666666666667</v>
      </c>
      <c r="M48" s="50" t="s">
        <v>18</v>
      </c>
      <c r="N48" s="51">
        <f t="shared" si="23"/>
        <v>208</v>
      </c>
      <c r="O48" s="48"/>
      <c r="P48" s="53" t="str">
        <f>IF(T48="---","---",(IF(N48="---","---",CONCATENATE("416-12"&amp;T48&amp;"-000"))))</f>
        <v>416-1231-000</v>
      </c>
      <c r="Q48" s="53">
        <f t="shared" si="24"/>
        <v>7</v>
      </c>
      <c r="R48" s="2">
        <v>7</v>
      </c>
      <c r="S48" s="42">
        <f>IF((AND(F48="---",H48="---")),"---",IF(ISERROR(HLOOKUP($A$50,AM48:AX$51,$U48)),"---",(HLOOKUP($A$50,AM48:AX$51,$U48))))</f>
        <v>31</v>
      </c>
      <c r="T48" s="42">
        <f>IF((AND(L48="---",N48="---")),"---",IF(ISERROR(HLOOKUP($A$50,Z48:AK$51,$U48)),"---",HLOOKUP($A$50,Z48:AK$51,$U48)))</f>
        <v>31</v>
      </c>
      <c r="U48" s="3">
        <v>4</v>
      </c>
      <c r="V48" s="43">
        <v>240</v>
      </c>
      <c r="W48" s="43">
        <v>16</v>
      </c>
      <c r="X48" s="85">
        <f t="shared" si="28"/>
        <v>465.024</v>
      </c>
      <c r="Z48" s="44"/>
      <c r="AA48" s="44">
        <f t="shared" si="29"/>
        <v>3.125</v>
      </c>
      <c r="AB48" s="44">
        <f t="shared" si="29"/>
        <v>6.25</v>
      </c>
      <c r="AC48" s="44">
        <f t="shared" si="25"/>
        <v>9.375</v>
      </c>
      <c r="AD48" s="44">
        <f t="shared" si="25"/>
        <v>15.625</v>
      </c>
      <c r="AE48" s="44">
        <f t="shared" si="25"/>
        <v>31.25</v>
      </c>
      <c r="AF48" s="44">
        <f t="shared" si="25"/>
        <v>46.875</v>
      </c>
      <c r="AG48" s="44">
        <f t="shared" si="25"/>
        <v>62.5</v>
      </c>
      <c r="AH48" s="44">
        <f t="shared" si="25"/>
        <v>93.75</v>
      </c>
      <c r="AI48" s="44">
        <f t="shared" si="25"/>
        <v>125</v>
      </c>
      <c r="AJ48" s="44">
        <f t="shared" si="25"/>
        <v>187.5</v>
      </c>
      <c r="AK48" s="44">
        <f t="shared" si="25"/>
        <v>312.5</v>
      </c>
      <c r="AN48" s="45">
        <f t="shared" si="30"/>
        <v>3.3333333333333335</v>
      </c>
      <c r="AO48" s="45">
        <f t="shared" si="30"/>
        <v>6.666666666666667</v>
      </c>
      <c r="AP48" s="45">
        <f t="shared" si="30"/>
        <v>10</v>
      </c>
      <c r="AQ48" s="45">
        <f t="shared" si="30"/>
        <v>16.666666666666668</v>
      </c>
      <c r="AR48" s="45">
        <f t="shared" si="30"/>
        <v>33.333333333333336</v>
      </c>
      <c r="AS48" s="45">
        <f t="shared" si="30"/>
        <v>50</v>
      </c>
      <c r="AT48" s="45">
        <f t="shared" si="30"/>
        <v>66.66666666666667</v>
      </c>
      <c r="AU48" s="45">
        <f t="shared" si="30"/>
        <v>100</v>
      </c>
      <c r="AV48" s="45">
        <f t="shared" si="30"/>
        <v>133.33333333333334</v>
      </c>
      <c r="AW48" s="45">
        <f t="shared" si="30"/>
        <v>200</v>
      </c>
      <c r="AX48" s="45">
        <f t="shared" si="30"/>
        <v>333.3333333333333</v>
      </c>
    </row>
    <row r="49" spans="1:50" ht="12.75">
      <c r="A49" s="63" t="s">
        <v>12</v>
      </c>
      <c r="B49" s="74"/>
      <c r="C49" s="56">
        <v>0.908675799086758</v>
      </c>
      <c r="D49" s="56">
        <v>1.100502512562814</v>
      </c>
      <c r="E49" s="56"/>
      <c r="F49" s="57">
        <f t="shared" si="31"/>
        <v>189.00456621004565</v>
      </c>
      <c r="G49" s="58" t="s">
        <v>18</v>
      </c>
      <c r="H49" s="59">
        <f t="shared" si="21"/>
        <v>208</v>
      </c>
      <c r="I49" s="60" t="str">
        <f>IF(S49="---","---",(IF(H49="---","---",CONCATENATE("416-14"&amp;S49&amp;"-000"))))</f>
        <v>416-1431-000</v>
      </c>
      <c r="J49" s="60">
        <f t="shared" si="22"/>
        <v>5</v>
      </c>
      <c r="K49" s="40" t="s">
        <v>17</v>
      </c>
      <c r="L49" s="57">
        <f t="shared" si="27"/>
        <v>228.90452261306532</v>
      </c>
      <c r="M49" s="58" t="s">
        <v>18</v>
      </c>
      <c r="N49" s="59">
        <f t="shared" si="23"/>
        <v>208</v>
      </c>
      <c r="O49" s="56"/>
      <c r="P49" s="61" t="str">
        <f>IF(T49="---","---",(IF(N49="---","---",CONCATENATE("416-14"&amp;T49&amp;"-000"))))</f>
        <v>416-1431-000</v>
      </c>
      <c r="Q49" s="61">
        <f t="shared" si="24"/>
        <v>5</v>
      </c>
      <c r="R49" s="2">
        <v>5</v>
      </c>
      <c r="S49" s="42">
        <f>IF((AND(F49="---",H49="---")),"---",IF(ISERROR(HLOOKUP($A$50,AM49:AX$51,$U49)),"---",(HLOOKUP($A$50,AM49:AX$51,$U49))))</f>
        <v>31</v>
      </c>
      <c r="T49" s="42">
        <f>IF((AND(L49="---",N49="---")),"---",IF(ISERROR(HLOOKUP($A$50,Z49:AK$51,$U49)),"---",HLOOKUP($A$50,Z49:AK$51,$U49)))</f>
        <v>31</v>
      </c>
      <c r="U49" s="3">
        <v>3</v>
      </c>
      <c r="V49" s="43">
        <v>240</v>
      </c>
      <c r="W49" s="43">
        <v>24</v>
      </c>
      <c r="X49" s="85">
        <f t="shared" si="28"/>
        <v>479.556</v>
      </c>
      <c r="Z49" s="44"/>
      <c r="AA49" s="44">
        <f t="shared" si="29"/>
        <v>2.083333333333333</v>
      </c>
      <c r="AB49" s="44">
        <f t="shared" si="29"/>
        <v>4.166666666666666</v>
      </c>
      <c r="AC49" s="44">
        <f t="shared" si="25"/>
        <v>6.25</v>
      </c>
      <c r="AD49" s="44">
        <f t="shared" si="25"/>
        <v>10.416666666666666</v>
      </c>
      <c r="AE49" s="44">
        <f t="shared" si="25"/>
        <v>20.833333333333332</v>
      </c>
      <c r="AF49" s="44">
        <f t="shared" si="25"/>
        <v>31.25</v>
      </c>
      <c r="AG49" s="44">
        <f t="shared" si="25"/>
        <v>41.666666666666664</v>
      </c>
      <c r="AH49" s="44">
        <f t="shared" si="25"/>
        <v>62.5</v>
      </c>
      <c r="AI49" s="44">
        <f t="shared" si="25"/>
        <v>83.33333333333333</v>
      </c>
      <c r="AJ49" s="44">
        <f t="shared" si="25"/>
        <v>125</v>
      </c>
      <c r="AK49" s="44">
        <f t="shared" si="25"/>
        <v>208.33333333333331</v>
      </c>
      <c r="AN49" s="45">
        <f t="shared" si="30"/>
        <v>2.2916666666666665</v>
      </c>
      <c r="AO49" s="45">
        <f t="shared" si="30"/>
        <v>4.583333333333333</v>
      </c>
      <c r="AP49" s="45">
        <f t="shared" si="30"/>
        <v>6.875</v>
      </c>
      <c r="AQ49" s="45">
        <f t="shared" si="30"/>
        <v>11.458333333333332</v>
      </c>
      <c r="AR49" s="45">
        <f t="shared" si="30"/>
        <v>22.916666666666664</v>
      </c>
      <c r="AS49" s="45">
        <f t="shared" si="30"/>
        <v>34.375</v>
      </c>
      <c r="AT49" s="45">
        <f t="shared" si="30"/>
        <v>45.83333333333333</v>
      </c>
      <c r="AU49" s="45">
        <f t="shared" si="30"/>
        <v>68.75</v>
      </c>
      <c r="AV49" s="45">
        <f t="shared" si="30"/>
        <v>91.66666666666666</v>
      </c>
      <c r="AW49" s="45">
        <f t="shared" si="30"/>
        <v>137.5</v>
      </c>
      <c r="AX49" s="45">
        <f t="shared" si="30"/>
        <v>229.16666666666666</v>
      </c>
    </row>
    <row r="50" spans="1:50" ht="12.75">
      <c r="A50" s="64">
        <f>K4</f>
        <v>20</v>
      </c>
      <c r="B50" s="74"/>
      <c r="C50" s="66">
        <v>0.8317307692307693</v>
      </c>
      <c r="D50" s="66">
        <v>1.2023121387283238</v>
      </c>
      <c r="E50" s="66"/>
      <c r="F50" s="57">
        <f t="shared" si="31"/>
        <v>173</v>
      </c>
      <c r="G50" s="58" t="s">
        <v>18</v>
      </c>
      <c r="H50" s="59">
        <f t="shared" si="21"/>
        <v>208</v>
      </c>
      <c r="I50" s="60" t="str">
        <f>IF(S50="---","---",(IF(H50="---","---",CONCATENATE("416-14"&amp;S50&amp;"-000"))))</f>
        <v>416-1451-000</v>
      </c>
      <c r="J50" s="60">
        <f t="shared" si="22"/>
        <v>6</v>
      </c>
      <c r="K50" s="67" t="s">
        <v>17</v>
      </c>
      <c r="L50" s="57">
        <f t="shared" si="27"/>
        <v>250.08092485549133</v>
      </c>
      <c r="M50" s="58" t="s">
        <v>18</v>
      </c>
      <c r="N50" s="59">
        <f t="shared" si="23"/>
        <v>208</v>
      </c>
      <c r="O50" s="66"/>
      <c r="P50" s="61" t="str">
        <f>IF(T50="---","---",(IF(N50="---","---",CONCATENATE("416-14"&amp;T50&amp;"-000"))))</f>
        <v>416-1451-000</v>
      </c>
      <c r="Q50" s="61">
        <f t="shared" si="24"/>
        <v>6</v>
      </c>
      <c r="R50" s="5">
        <v>6</v>
      </c>
      <c r="S50" s="42">
        <f>IF((AND(F50="---",H50="---")),"---",IF(ISERROR(HLOOKUP($A$50,AM50:AX$51,$U50)),"---",(HLOOKUP($A$50,AM50:AX$51,$U50))))</f>
        <v>51</v>
      </c>
      <c r="T50" s="42">
        <f>IF((AND(L50="---",N50="---")),"---",IF(ISERROR(HLOOKUP($A$50,Z50:AK$51,$U50)),"---",HLOOKUP($A$50,Z50:AK$51,$U50)))</f>
        <v>51</v>
      </c>
      <c r="U50" s="3">
        <v>2</v>
      </c>
      <c r="V50" s="43">
        <v>240</v>
      </c>
      <c r="W50" s="43">
        <v>48</v>
      </c>
      <c r="X50" s="85">
        <f t="shared" si="28"/>
        <v>523.152</v>
      </c>
      <c r="Z50" s="44"/>
      <c r="AA50" s="44">
        <f t="shared" si="29"/>
        <v>1.0416666666666665</v>
      </c>
      <c r="AB50" s="44">
        <f t="shared" si="29"/>
        <v>2.083333333333333</v>
      </c>
      <c r="AC50" s="44">
        <f t="shared" si="25"/>
        <v>3.125</v>
      </c>
      <c r="AD50" s="44">
        <f t="shared" si="25"/>
        <v>5.208333333333333</v>
      </c>
      <c r="AE50" s="44">
        <f t="shared" si="25"/>
        <v>10.416666666666666</v>
      </c>
      <c r="AF50" s="44">
        <f t="shared" si="25"/>
        <v>15.625</v>
      </c>
      <c r="AG50" s="44">
        <f t="shared" si="25"/>
        <v>20.833333333333332</v>
      </c>
      <c r="AH50" s="44">
        <f t="shared" si="25"/>
        <v>31.25</v>
      </c>
      <c r="AI50" s="44">
        <f t="shared" si="25"/>
        <v>41.666666666666664</v>
      </c>
      <c r="AJ50" s="44">
        <f t="shared" si="25"/>
        <v>62.5</v>
      </c>
      <c r="AK50" s="44">
        <f t="shared" si="25"/>
        <v>104.16666666666666</v>
      </c>
      <c r="AN50" s="45">
        <f t="shared" si="30"/>
        <v>1.2499999999999998</v>
      </c>
      <c r="AO50" s="45">
        <f t="shared" si="30"/>
        <v>2.4999999999999996</v>
      </c>
      <c r="AP50" s="45">
        <f t="shared" si="30"/>
        <v>3.75</v>
      </c>
      <c r="AQ50" s="45">
        <f t="shared" si="30"/>
        <v>6.25</v>
      </c>
      <c r="AR50" s="45">
        <f t="shared" si="30"/>
        <v>12.5</v>
      </c>
      <c r="AS50" s="45">
        <f t="shared" si="30"/>
        <v>18.75</v>
      </c>
      <c r="AT50" s="45">
        <f t="shared" si="30"/>
        <v>25</v>
      </c>
      <c r="AU50" s="45">
        <f t="shared" si="30"/>
        <v>37.5</v>
      </c>
      <c r="AV50" s="45">
        <f t="shared" si="30"/>
        <v>50</v>
      </c>
      <c r="AW50" s="45">
        <f t="shared" si="30"/>
        <v>75</v>
      </c>
      <c r="AX50" s="45">
        <f t="shared" si="30"/>
        <v>124.99999999999999</v>
      </c>
    </row>
    <row r="51" spans="20:50" ht="12.75">
      <c r="T51" s="4"/>
      <c r="Z51" s="72" t="s">
        <v>30</v>
      </c>
      <c r="AA51" s="72" t="s">
        <v>15</v>
      </c>
      <c r="AB51" s="73">
        <v>11</v>
      </c>
      <c r="AC51" s="73">
        <v>21</v>
      </c>
      <c r="AD51" s="73">
        <v>31</v>
      </c>
      <c r="AE51" s="73">
        <v>41</v>
      </c>
      <c r="AF51" s="73">
        <v>51</v>
      </c>
      <c r="AG51" s="73">
        <v>61</v>
      </c>
      <c r="AH51" s="73">
        <v>71</v>
      </c>
      <c r="AI51" s="73">
        <v>81</v>
      </c>
      <c r="AJ51" s="73">
        <v>91</v>
      </c>
      <c r="AK51" s="72" t="s">
        <v>14</v>
      </c>
      <c r="AM51" s="72" t="s">
        <v>30</v>
      </c>
      <c r="AN51" s="72" t="s">
        <v>15</v>
      </c>
      <c r="AO51" s="73">
        <v>11</v>
      </c>
      <c r="AP51" s="73">
        <v>21</v>
      </c>
      <c r="AQ51" s="73">
        <v>31</v>
      </c>
      <c r="AR51" s="73">
        <v>41</v>
      </c>
      <c r="AS51" s="73">
        <v>51</v>
      </c>
      <c r="AT51" s="73">
        <v>61</v>
      </c>
      <c r="AU51" s="73">
        <v>71</v>
      </c>
      <c r="AV51" s="73">
        <v>81</v>
      </c>
      <c r="AW51" s="73">
        <v>91</v>
      </c>
      <c r="AX51" s="72" t="s">
        <v>14</v>
      </c>
    </row>
  </sheetData>
  <sheetProtection password="C5FE"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97"/>
  <sheetViews>
    <sheetView workbookViewId="0" topLeftCell="A8">
      <selection activeCell="K21" sqref="K21"/>
    </sheetView>
  </sheetViews>
  <sheetFormatPr defaultColWidth="9.140625" defaultRowHeight="12.75"/>
  <cols>
    <col min="1" max="1" width="4.8515625" style="0" customWidth="1"/>
  </cols>
  <sheetData>
    <row r="3" ht="15.75">
      <c r="A3" s="87">
        <v>1</v>
      </c>
    </row>
    <row r="17" ht="15.75">
      <c r="A17" s="87">
        <v>2</v>
      </c>
    </row>
    <row r="30" ht="15.75">
      <c r="A30" s="87">
        <v>3</v>
      </c>
    </row>
    <row r="46" ht="15.75">
      <c r="A46" s="87">
        <v>4</v>
      </c>
    </row>
    <row r="62" ht="15.75">
      <c r="A62" s="87">
        <v>5</v>
      </c>
    </row>
    <row r="77" ht="15.75">
      <c r="A77" s="87">
        <v>6</v>
      </c>
    </row>
    <row r="93" ht="15.75">
      <c r="A93" s="87">
        <v>7</v>
      </c>
    </row>
    <row r="112" ht="15.75">
      <c r="A112" s="87">
        <v>8</v>
      </c>
    </row>
    <row r="132" ht="15.75">
      <c r="A132" s="87">
        <v>9</v>
      </c>
    </row>
    <row r="149" ht="15.75">
      <c r="A149" s="87">
        <v>10</v>
      </c>
    </row>
    <row r="167" ht="15.75">
      <c r="A167" s="87">
        <v>11</v>
      </c>
    </row>
    <row r="197" ht="15.75">
      <c r="A197" s="87">
        <v>12</v>
      </c>
    </row>
  </sheetData>
  <sheetProtection password="C5FE" sheet="1" objects="1" scenarios="1"/>
  <printOptions/>
  <pageMargins left="0.5" right="0.5" top="0.75" bottom="0.75" header="0.5" footer="0.5"/>
  <pageSetup horizontalDpi="300" verticalDpi="300" orientation="portrait" r:id="rId2"/>
  <headerFooter alignWithMargins="0">
    <oddHeader>&amp;CBuck Boost Wiring Diagrams</oddHeader>
    <oddFooter>&amp;C&amp;F&amp;R&amp;A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ejaeger</dc:creator>
  <cp:keywords/>
  <dc:description/>
  <cp:lastModifiedBy>Eric</cp:lastModifiedBy>
  <cp:lastPrinted>2012-02-16T20:06:22Z</cp:lastPrinted>
  <dcterms:created xsi:type="dcterms:W3CDTF">2007-05-24T14:37:30Z</dcterms:created>
  <dcterms:modified xsi:type="dcterms:W3CDTF">2012-03-08T17:16:26Z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-180406340</vt:i4>
  </property>
  <property fmtid="{D5CDD505-2E9C-101B-9397-08002B2CF9AE}" pid="4" name="_EmailSubje">
    <vt:lpwstr>updated buck-boost spreadsheet</vt:lpwstr>
  </property>
  <property fmtid="{D5CDD505-2E9C-101B-9397-08002B2CF9AE}" pid="5" name="_AuthorEma">
    <vt:lpwstr>ejaeger@jeffersonelectric.com</vt:lpwstr>
  </property>
  <property fmtid="{D5CDD505-2E9C-101B-9397-08002B2CF9AE}" pid="6" name="_AuthorEmailDisplayNa">
    <vt:lpwstr>Eric Jaeger</vt:lpwstr>
  </property>
</Properties>
</file>